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08"/>
  <workbookPr/>
  <mc:AlternateContent xmlns:mc="http://schemas.openxmlformats.org/markup-compatibility/2006">
    <mc:Choice Requires="x15">
      <x15ac:absPath xmlns:x15ac="http://schemas.microsoft.com/office/spreadsheetml/2010/11/ac" url="/Volumes/ANTONELLA/LTER/Dati/DEIMS/Macroalghe/"/>
    </mc:Choice>
  </mc:AlternateContent>
  <xr:revisionPtr revIDLastSave="0" documentId="13_ncr:1_{0F70AD02-C022-2E40-9A66-BA60EA9F4072}" xr6:coauthVersionLast="45" xr6:coauthVersionMax="45" xr10:uidLastSave="{00000000-0000-0000-0000-000000000000}"/>
  <bookViews>
    <workbookView xWindow="14280" yWindow="460" windowWidth="15420" windowHeight="16080" activeTab="12" xr2:uid="{00000000-000D-0000-FFFF-FFFF00000000}"/>
  </bookViews>
  <sheets>
    <sheet name="January" sheetId="1" r:id="rId1"/>
    <sheet name="February" sheetId="2" r:id="rId2"/>
    <sheet name="March" sheetId="3" r:id="rId3"/>
    <sheet name="April" sheetId="12" r:id="rId4"/>
    <sheet name="May" sheetId="11" r:id="rId5"/>
    <sheet name="June" sheetId="10" r:id="rId6"/>
    <sheet name="July" sheetId="9" r:id="rId7"/>
    <sheet name="August" sheetId="8" r:id="rId8"/>
    <sheet name="September" sheetId="7" r:id="rId9"/>
    <sheet name="October" sheetId="6" r:id="rId10"/>
    <sheet name="November" sheetId="5" r:id="rId11"/>
    <sheet name="December" sheetId="4" r:id="rId12"/>
    <sheet name="Floristic list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3" i="9" l="1"/>
  <c r="C3" i="9"/>
  <c r="D3" i="9"/>
  <c r="E3" i="9"/>
  <c r="F3" i="9"/>
  <c r="G3" i="9"/>
  <c r="H3" i="9"/>
  <c r="J3" i="9"/>
  <c r="K3" i="9"/>
  <c r="L3" i="9"/>
  <c r="M3" i="9"/>
  <c r="N3" i="9"/>
  <c r="O3" i="9"/>
  <c r="P3" i="9"/>
  <c r="Q3" i="9"/>
  <c r="R3" i="9"/>
  <c r="S3" i="9"/>
  <c r="T3" i="9"/>
  <c r="U3" i="9"/>
  <c r="U21" i="9"/>
  <c r="T21" i="9"/>
  <c r="S21" i="9"/>
  <c r="R21" i="9"/>
  <c r="Q21" i="9"/>
  <c r="P21" i="9"/>
  <c r="O21" i="9"/>
  <c r="N21" i="9"/>
  <c r="M21" i="9"/>
  <c r="L21" i="9"/>
  <c r="K21" i="9"/>
  <c r="J21" i="9"/>
  <c r="H21" i="9"/>
  <c r="G21" i="9"/>
  <c r="F21" i="9"/>
  <c r="E21" i="9"/>
  <c r="D21" i="9"/>
  <c r="C21" i="9"/>
  <c r="B21" i="9"/>
  <c r="C14" i="9"/>
  <c r="F14" i="9"/>
  <c r="G14" i="9"/>
  <c r="I14" i="9"/>
  <c r="K14" i="9"/>
  <c r="L14" i="9"/>
  <c r="P14" i="9"/>
  <c r="Q14" i="9"/>
  <c r="R14" i="9"/>
  <c r="S14" i="9"/>
  <c r="T14" i="9"/>
  <c r="T13" i="9"/>
  <c r="S13" i="9"/>
  <c r="R13" i="9"/>
  <c r="Q13" i="9"/>
  <c r="P13" i="9"/>
  <c r="L13" i="9"/>
  <c r="K13" i="9"/>
  <c r="I13" i="9"/>
  <c r="G13" i="9"/>
  <c r="F13" i="9"/>
  <c r="C13" i="9"/>
  <c r="D3" i="10"/>
  <c r="E3" i="10"/>
  <c r="F3" i="10"/>
  <c r="G3" i="10"/>
  <c r="J3" i="10"/>
  <c r="K3" i="10"/>
  <c r="N3" i="10"/>
  <c r="O3" i="10"/>
  <c r="Q3" i="10"/>
  <c r="R3" i="10"/>
  <c r="S3" i="10"/>
  <c r="T3" i="10"/>
  <c r="U3" i="10"/>
  <c r="U20" i="10"/>
  <c r="T20" i="10"/>
  <c r="S20" i="10"/>
  <c r="R20" i="10"/>
  <c r="Q20" i="10"/>
  <c r="O20" i="10"/>
  <c r="N20" i="10"/>
  <c r="K20" i="10"/>
  <c r="J20" i="10"/>
  <c r="G20" i="10"/>
  <c r="F20" i="10"/>
  <c r="E20" i="10"/>
  <c r="D20" i="10"/>
  <c r="D14" i="10"/>
  <c r="E14" i="10"/>
  <c r="F14" i="10"/>
  <c r="G14" i="10"/>
  <c r="J14" i="10"/>
  <c r="L14" i="10"/>
  <c r="N14" i="10"/>
  <c r="O14" i="10"/>
  <c r="P14" i="10"/>
  <c r="Q14" i="10"/>
  <c r="R14" i="10"/>
  <c r="S14" i="10"/>
  <c r="T14" i="10"/>
  <c r="U14" i="10"/>
  <c r="U13" i="10"/>
  <c r="T13" i="10"/>
  <c r="S13" i="10"/>
  <c r="R13" i="10"/>
  <c r="Q13" i="10"/>
  <c r="P13" i="10"/>
  <c r="O13" i="10"/>
  <c r="N13" i="10"/>
  <c r="L13" i="10"/>
  <c r="J13" i="10"/>
  <c r="G13" i="10"/>
  <c r="F13" i="10"/>
  <c r="E13" i="10"/>
  <c r="D13" i="10"/>
  <c r="D4" i="11"/>
  <c r="H4" i="11"/>
  <c r="I4" i="11"/>
  <c r="J4" i="11"/>
  <c r="K4" i="11"/>
  <c r="M4" i="11"/>
  <c r="O4" i="11"/>
  <c r="P4" i="11"/>
  <c r="Q4" i="11"/>
  <c r="R4" i="11"/>
  <c r="S4" i="11"/>
  <c r="T4" i="11"/>
  <c r="U4" i="11"/>
  <c r="U21" i="11"/>
  <c r="T21" i="11"/>
  <c r="S21" i="11"/>
  <c r="R21" i="11"/>
  <c r="Q21" i="11"/>
  <c r="P21" i="11"/>
  <c r="O21" i="11"/>
  <c r="M21" i="11"/>
  <c r="K21" i="11"/>
  <c r="J21" i="11"/>
  <c r="I21" i="11"/>
  <c r="H21" i="11"/>
  <c r="D21" i="11"/>
  <c r="B16" i="11"/>
  <c r="D16" i="11"/>
  <c r="F16" i="11"/>
  <c r="G16" i="11"/>
  <c r="H16" i="11"/>
  <c r="I16" i="11"/>
  <c r="J16" i="11"/>
  <c r="M16" i="11"/>
  <c r="N16" i="11"/>
  <c r="O16" i="11"/>
  <c r="P16" i="11"/>
  <c r="Q16" i="11"/>
  <c r="R16" i="11"/>
  <c r="S16" i="11"/>
  <c r="T16" i="11"/>
  <c r="U16" i="11"/>
  <c r="U14" i="11"/>
  <c r="T14" i="11"/>
  <c r="S14" i="11"/>
  <c r="R14" i="11"/>
  <c r="Q14" i="11"/>
  <c r="P14" i="11"/>
  <c r="O14" i="11"/>
  <c r="N14" i="11"/>
  <c r="M14" i="11"/>
  <c r="J14" i="11"/>
  <c r="I14" i="11"/>
  <c r="H14" i="11"/>
  <c r="G14" i="11"/>
  <c r="F14" i="11"/>
  <c r="D14" i="11"/>
  <c r="B14" i="11"/>
  <c r="B4" i="12"/>
  <c r="D4" i="12"/>
  <c r="I4" i="12"/>
  <c r="J4" i="12"/>
  <c r="K4" i="12"/>
  <c r="M4" i="12"/>
  <c r="N4" i="12"/>
  <c r="O4" i="12"/>
  <c r="P4" i="12"/>
  <c r="R4" i="12"/>
  <c r="S4" i="12"/>
  <c r="T4" i="12"/>
  <c r="T24" i="12"/>
  <c r="S24" i="12"/>
  <c r="R24" i="12"/>
  <c r="P24" i="12"/>
  <c r="O24" i="12"/>
  <c r="N24" i="12"/>
  <c r="M24" i="12"/>
  <c r="K24" i="12"/>
  <c r="J24" i="12"/>
  <c r="I24" i="12"/>
  <c r="D24" i="12"/>
  <c r="B24" i="12"/>
  <c r="B19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O19" i="12"/>
  <c r="P19" i="12"/>
  <c r="Q19" i="12"/>
  <c r="R19" i="12"/>
  <c r="S19" i="12"/>
  <c r="T19" i="12"/>
  <c r="T17" i="12"/>
  <c r="S17" i="12"/>
  <c r="R17" i="12"/>
  <c r="Q17" i="12"/>
  <c r="P17" i="12"/>
  <c r="O17" i="12"/>
  <c r="N17" i="12"/>
  <c r="M17" i="12"/>
  <c r="L17" i="12"/>
  <c r="K17" i="12"/>
  <c r="J17" i="12"/>
  <c r="I17" i="12"/>
  <c r="H17" i="12"/>
  <c r="G17" i="12"/>
  <c r="F17" i="12"/>
  <c r="E17" i="12"/>
  <c r="D17" i="12"/>
  <c r="C17" i="12"/>
  <c r="B17" i="12"/>
  <c r="B4" i="2" l="1"/>
  <c r="C4" i="2"/>
  <c r="D4" i="2"/>
  <c r="G4" i="2"/>
  <c r="I4" i="2"/>
  <c r="J4" i="2"/>
  <c r="K4" i="2"/>
  <c r="L4" i="2"/>
  <c r="M4" i="2"/>
  <c r="N4" i="2"/>
  <c r="O4" i="2"/>
  <c r="P4" i="2"/>
  <c r="Q4" i="2"/>
  <c r="R4" i="2"/>
  <c r="T4" i="2"/>
  <c r="U4" i="2"/>
  <c r="U20" i="2"/>
  <c r="T20" i="2"/>
  <c r="R20" i="2"/>
  <c r="Q20" i="2"/>
  <c r="P20" i="2"/>
  <c r="O20" i="2"/>
  <c r="N20" i="2"/>
  <c r="M20" i="2"/>
  <c r="L20" i="2"/>
  <c r="K20" i="2"/>
  <c r="J20" i="2"/>
  <c r="I20" i="2"/>
  <c r="G20" i="2"/>
  <c r="D20" i="2"/>
  <c r="C20" i="2"/>
  <c r="B20" i="2"/>
  <c r="B14" i="2"/>
  <c r="F14" i="2"/>
  <c r="H14" i="2"/>
  <c r="I14" i="2"/>
  <c r="J14" i="2"/>
  <c r="K14" i="2"/>
  <c r="L14" i="2"/>
  <c r="M14" i="2"/>
  <c r="N14" i="2"/>
  <c r="O14" i="2"/>
  <c r="P14" i="2"/>
  <c r="Q14" i="2"/>
  <c r="R14" i="2"/>
  <c r="S14" i="2"/>
  <c r="T14" i="2"/>
  <c r="U14" i="2"/>
  <c r="U13" i="2"/>
  <c r="T13" i="2"/>
  <c r="S13" i="2"/>
  <c r="R13" i="2"/>
  <c r="Q13" i="2"/>
  <c r="P13" i="2"/>
  <c r="O13" i="2"/>
  <c r="N13" i="2"/>
  <c r="M13" i="2"/>
  <c r="L13" i="2"/>
  <c r="K13" i="2"/>
  <c r="J13" i="2"/>
  <c r="I13" i="2"/>
  <c r="H13" i="2"/>
  <c r="F13" i="2"/>
  <c r="B13" i="2"/>
  <c r="D4" i="1"/>
  <c r="H4" i="1"/>
  <c r="I4" i="1"/>
  <c r="J4" i="1"/>
  <c r="M4" i="1"/>
  <c r="N4" i="1"/>
  <c r="P4" i="1"/>
  <c r="S4" i="1"/>
  <c r="T4" i="1"/>
  <c r="U4" i="1"/>
  <c r="U24" i="1"/>
  <c r="T24" i="1"/>
  <c r="S24" i="1"/>
  <c r="P24" i="1"/>
  <c r="N24" i="1"/>
  <c r="M24" i="1"/>
  <c r="J24" i="1"/>
  <c r="I24" i="1"/>
  <c r="H24" i="1"/>
  <c r="D24" i="1"/>
  <c r="H15" i="1"/>
  <c r="I15" i="1"/>
  <c r="J15" i="1"/>
  <c r="M15" i="1"/>
  <c r="O15" i="1"/>
  <c r="P15" i="1"/>
  <c r="S15" i="1"/>
  <c r="T15" i="1"/>
  <c r="U15" i="1"/>
  <c r="U14" i="1"/>
  <c r="T14" i="1"/>
  <c r="S14" i="1"/>
  <c r="P14" i="1"/>
  <c r="O14" i="1"/>
  <c r="M14" i="1"/>
  <c r="J14" i="1"/>
  <c r="I14" i="1"/>
  <c r="H14" i="1"/>
  <c r="C15" i="1"/>
  <c r="D15" i="1"/>
  <c r="E15" i="1"/>
  <c r="F15" i="1"/>
  <c r="G15" i="1"/>
  <c r="G14" i="1"/>
  <c r="F14" i="1"/>
  <c r="E14" i="1"/>
  <c r="D14" i="1"/>
  <c r="C14" i="1"/>
</calcChain>
</file>

<file path=xl/sharedStrings.xml><?xml version="1.0" encoding="utf-8"?>
<sst xmlns="http://schemas.openxmlformats.org/spreadsheetml/2006/main" count="855" uniqueCount="180">
  <si>
    <t>Specie</t>
  </si>
  <si>
    <t>Aa1</t>
  </si>
  <si>
    <t>Aa2</t>
  </si>
  <si>
    <t>Ab1</t>
  </si>
  <si>
    <t>Ab2</t>
  </si>
  <si>
    <t>Ba1</t>
  </si>
  <si>
    <t>Bb1</t>
  </si>
  <si>
    <t>Ca1</t>
  </si>
  <si>
    <t>Ca2</t>
  </si>
  <si>
    <t>Ca3</t>
  </si>
  <si>
    <t>Ca4</t>
  </si>
  <si>
    <t>Ca5</t>
  </si>
  <si>
    <t>Cb1</t>
  </si>
  <si>
    <t>Cb2</t>
  </si>
  <si>
    <t>Cb3</t>
  </si>
  <si>
    <t>Cb4</t>
  </si>
  <si>
    <t>Cb5</t>
  </si>
  <si>
    <t>Cb6</t>
  </si>
  <si>
    <t>Da1</t>
  </si>
  <si>
    <t>Db1</t>
  </si>
  <si>
    <t>Db2</t>
  </si>
  <si>
    <t>A</t>
  </si>
  <si>
    <t>C</t>
  </si>
  <si>
    <t>M</t>
  </si>
  <si>
    <t>IP</t>
  </si>
  <si>
    <t>CT</t>
  </si>
  <si>
    <t>First Inlet</t>
  </si>
  <si>
    <t>Second Inlet</t>
  </si>
  <si>
    <t>Rhodophyta</t>
  </si>
  <si>
    <t>Ceramiales</t>
  </si>
  <si>
    <t>Rhodomelaceae</t>
  </si>
  <si>
    <t>Callithamniaceae</t>
  </si>
  <si>
    <t>Ceramiaceae</t>
  </si>
  <si>
    <r>
      <t xml:space="preserve">Acanthophora nayadiformis </t>
    </r>
    <r>
      <rPr>
        <sz val="14"/>
        <rFont val="Arial"/>
        <family val="2"/>
      </rPr>
      <t>(Delile) Papenfuss</t>
    </r>
  </si>
  <si>
    <r>
      <t xml:space="preserve">Alsidium corallinum </t>
    </r>
    <r>
      <rPr>
        <sz val="14"/>
        <rFont val="Arial"/>
        <family val="2"/>
      </rPr>
      <t>C. Agardh</t>
    </r>
  </si>
  <si>
    <r>
      <t xml:space="preserve">Callithamnion corymbosum </t>
    </r>
    <r>
      <rPr>
        <sz val="14"/>
        <rFont val="Arial"/>
        <family val="2"/>
      </rPr>
      <t>(Smith) Lyngbye</t>
    </r>
  </si>
  <si>
    <r>
      <t xml:space="preserve">Ceramium siliquosum </t>
    </r>
    <r>
      <rPr>
        <sz val="14"/>
        <rFont val="Arial"/>
        <family val="2"/>
      </rPr>
      <t xml:space="preserve">(Kützing) Maggs </t>
    </r>
    <r>
      <rPr>
        <i/>
        <sz val="14"/>
        <color theme="1"/>
        <rFont val="Arial"/>
        <family val="2"/>
      </rPr>
      <t xml:space="preserve">et </t>
    </r>
    <r>
      <rPr>
        <sz val="14"/>
        <rFont val="Arial"/>
        <family val="2"/>
      </rPr>
      <t xml:space="preserve">Hommersand </t>
    </r>
  </si>
  <si>
    <t>Chlorophyta</t>
  </si>
  <si>
    <t>Cladophorales</t>
  </si>
  <si>
    <t>Cladophoraceae</t>
  </si>
  <si>
    <t>Gracilariales</t>
  </si>
  <si>
    <t>Gracilariaceae</t>
  </si>
  <si>
    <t>Ochrophyta</t>
  </si>
  <si>
    <t>Ectocarpales</t>
  </si>
  <si>
    <t>Ectocarpaceae</t>
  </si>
  <si>
    <t>Fucales</t>
  </si>
  <si>
    <t>Sargassaceae</t>
  </si>
  <si>
    <t>Wrangeliaceae</t>
  </si>
  <si>
    <t>Gigartinales</t>
  </si>
  <si>
    <t>Cystocloniaceae</t>
  </si>
  <si>
    <t>Delesseriaceae</t>
  </si>
  <si>
    <t>Rhodymeniales</t>
  </si>
  <si>
    <t>Rhodymeniaceae</t>
  </si>
  <si>
    <t xml:space="preserve">Gigartinales </t>
  </si>
  <si>
    <t>Solieriaceae</t>
  </si>
  <si>
    <t xml:space="preserve">Solieria filiformis (Kützing) P.W. Gabrielson </t>
  </si>
  <si>
    <t>Agardhiella subulata (C. Agardh) Kraft et M.J. Wynne</t>
  </si>
  <si>
    <t>Stylonematales</t>
  </si>
  <si>
    <t>Stylonemataceae</t>
  </si>
  <si>
    <t>Ulvales</t>
  </si>
  <si>
    <t>Ulvaceae</t>
  </si>
  <si>
    <r>
      <t xml:space="preserve">Chaetomorpha linum </t>
    </r>
    <r>
      <rPr>
        <sz val="14"/>
        <rFont val="Arial"/>
        <family val="2"/>
      </rPr>
      <t>(O.F. Müller) Kützing</t>
    </r>
  </si>
  <si>
    <r>
      <t xml:space="preserve">Chondria capillaris </t>
    </r>
    <r>
      <rPr>
        <sz val="14"/>
        <rFont val="Arial"/>
        <family val="2"/>
      </rPr>
      <t>(Hudson) M.J. Wynne</t>
    </r>
  </si>
  <si>
    <r>
      <t xml:space="preserve">Gracilaria gracilis </t>
    </r>
    <r>
      <rPr>
        <sz val="14"/>
        <rFont val="Arial"/>
        <family val="2"/>
      </rPr>
      <t>(Stackhouse) Steentoft, L.M. Irvine</t>
    </r>
    <r>
      <rPr>
        <i/>
        <sz val="14"/>
        <color theme="1"/>
        <rFont val="Arial"/>
        <family val="2"/>
      </rPr>
      <t xml:space="preserve"> et </t>
    </r>
    <r>
      <rPr>
        <sz val="14"/>
        <rFont val="Arial"/>
        <family val="2"/>
      </rPr>
      <t>Farnham</t>
    </r>
  </si>
  <si>
    <r>
      <t xml:space="preserve">Gracilariopsis longissima </t>
    </r>
    <r>
      <rPr>
        <sz val="14"/>
        <rFont val="Arial"/>
        <family val="2"/>
      </rPr>
      <t>(S.G. Gmelin) Steentoft, L.M. Irvine</t>
    </r>
    <r>
      <rPr>
        <i/>
        <sz val="14"/>
        <color theme="1"/>
        <rFont val="Arial"/>
        <family val="2"/>
      </rPr>
      <t xml:space="preserve"> et </t>
    </r>
    <r>
      <rPr>
        <sz val="14"/>
        <rFont val="Arial"/>
        <family val="2"/>
      </rPr>
      <t>Farnham</t>
    </r>
  </si>
  <si>
    <r>
      <t xml:space="preserve">Gracilaria bursa-pastoris </t>
    </r>
    <r>
      <rPr>
        <sz val="14"/>
        <rFont val="Arial"/>
        <family val="2"/>
      </rPr>
      <t>(S.G. Gmelin) P.C. Silva</t>
    </r>
  </si>
  <si>
    <r>
      <t xml:space="preserve">Gracilaria dura </t>
    </r>
    <r>
      <rPr>
        <sz val="14"/>
        <rFont val="Arial"/>
        <family val="2"/>
      </rPr>
      <t>(C. Agardh) J. Agardh</t>
    </r>
  </si>
  <si>
    <r>
      <t xml:space="preserve">Griffithsia schousboei </t>
    </r>
    <r>
      <rPr>
        <sz val="14"/>
        <rFont val="Arial"/>
        <family val="2"/>
      </rPr>
      <t>Montagne</t>
    </r>
  </si>
  <si>
    <r>
      <t xml:space="preserve">Herposiphonia secunda </t>
    </r>
    <r>
      <rPr>
        <sz val="14"/>
        <rFont val="Arial"/>
        <family val="2"/>
      </rPr>
      <t xml:space="preserve">(C. Agardh) Ambronn </t>
    </r>
  </si>
  <si>
    <r>
      <t xml:space="preserve">Hypnea spinella </t>
    </r>
    <r>
      <rPr>
        <sz val="14"/>
        <rFont val="Arial"/>
        <family val="2"/>
      </rPr>
      <t>(C. Agardh) Kützing</t>
    </r>
  </si>
  <si>
    <r>
      <t xml:space="preserve">Polysiphonia subulata </t>
    </r>
    <r>
      <rPr>
        <sz val="14"/>
        <rFont val="Arial"/>
        <family val="2"/>
      </rPr>
      <t>(Ducluzeau) Kützing</t>
    </r>
  </si>
  <si>
    <r>
      <t xml:space="preserve">Radicilingua thysanorhizans </t>
    </r>
    <r>
      <rPr>
        <sz val="14"/>
        <rFont val="Arial"/>
        <family val="2"/>
      </rPr>
      <t>(Holmes) Papenfuss</t>
    </r>
  </si>
  <si>
    <r>
      <t xml:space="preserve">Rhodymenia pseudopalmata </t>
    </r>
    <r>
      <rPr>
        <sz val="14"/>
        <rFont val="Arial"/>
        <family val="2"/>
      </rPr>
      <t>(J.V. Lamouroux) P.C. Silva</t>
    </r>
  </si>
  <si>
    <r>
      <t xml:space="preserve">Spyridia filamentosa </t>
    </r>
    <r>
      <rPr>
        <sz val="14"/>
        <rFont val="Arial"/>
        <family val="2"/>
      </rPr>
      <t xml:space="preserve">(Wulfen) Harvey </t>
    </r>
  </si>
  <si>
    <r>
      <t xml:space="preserve">Stylonema alsidii </t>
    </r>
    <r>
      <rPr>
        <sz val="14"/>
        <rFont val="Arial"/>
        <family val="2"/>
      </rPr>
      <t>(Zanardini) K.M.Drew</t>
    </r>
  </si>
  <si>
    <r>
      <t xml:space="preserve">Ulva compressa </t>
    </r>
    <r>
      <rPr>
        <sz val="14"/>
        <rFont val="Arial"/>
        <family val="2"/>
      </rPr>
      <t>Linnaeus</t>
    </r>
  </si>
  <si>
    <r>
      <t xml:space="preserve">Ulva laetevirens </t>
    </r>
    <r>
      <rPr>
        <sz val="14"/>
        <rFont val="Arial"/>
        <family val="2"/>
      </rPr>
      <t>Areschoug</t>
    </r>
  </si>
  <si>
    <r>
      <t xml:space="preserve">Ulva prolifera </t>
    </r>
    <r>
      <rPr>
        <sz val="14"/>
        <rFont val="Arial"/>
        <family val="2"/>
      </rPr>
      <t>O.F. Müller</t>
    </r>
  </si>
  <si>
    <r>
      <t xml:space="preserve">Ulva pseudorotundata </t>
    </r>
    <r>
      <rPr>
        <sz val="14"/>
        <rFont val="Arial"/>
        <family val="2"/>
      </rPr>
      <t>Cormaci, G. Furnari</t>
    </r>
    <r>
      <rPr>
        <i/>
        <sz val="14"/>
        <color theme="1"/>
        <rFont val="Arial"/>
        <family val="2"/>
      </rPr>
      <t xml:space="preserve"> et </t>
    </r>
    <r>
      <rPr>
        <sz val="14"/>
        <rFont val="Arial"/>
        <family val="2"/>
      </rPr>
      <t>Alongi</t>
    </r>
  </si>
  <si>
    <r>
      <t xml:space="preserve">Umbraulva dangeardii </t>
    </r>
    <r>
      <rPr>
        <sz val="14"/>
        <rFont val="Arial"/>
        <family val="2"/>
      </rPr>
      <t xml:space="preserve">M.J. Wynne </t>
    </r>
    <r>
      <rPr>
        <i/>
        <sz val="14"/>
        <color theme="1"/>
        <rFont val="Arial"/>
        <family val="2"/>
      </rPr>
      <t xml:space="preserve">et </t>
    </r>
    <r>
      <rPr>
        <sz val="14"/>
        <rFont val="Arial"/>
        <family val="2"/>
      </rPr>
      <t>G. Furnari</t>
    </r>
  </si>
  <si>
    <r>
      <rPr>
        <i/>
        <sz val="14"/>
        <rFont val="Arial"/>
        <family val="2"/>
      </rPr>
      <t>Treptacanta barbata</t>
    </r>
    <r>
      <rPr>
        <sz val="14"/>
        <rFont val="Arial"/>
        <family val="2"/>
      </rPr>
      <t xml:space="preserve"> (Stackhouse) Orellana </t>
    </r>
    <r>
      <rPr>
        <i/>
        <sz val="14"/>
        <rFont val="Arial"/>
        <family val="2"/>
      </rPr>
      <t xml:space="preserve">et </t>
    </r>
    <r>
      <rPr>
        <sz val="14"/>
        <rFont val="Arial"/>
        <family val="2"/>
      </rPr>
      <t>Sansón</t>
    </r>
  </si>
  <si>
    <t>Bacillariophyta</t>
  </si>
  <si>
    <t>Colonial Unidentified Diatoms</t>
  </si>
  <si>
    <r>
      <rPr>
        <i/>
        <sz val="14"/>
        <rFont val="Arial"/>
        <family val="2"/>
      </rPr>
      <t>Ectocarpus</t>
    </r>
    <r>
      <rPr>
        <sz val="14"/>
        <rFont val="Arial"/>
        <family val="2"/>
      </rPr>
      <t xml:space="preserve"> sp</t>
    </r>
  </si>
  <si>
    <r>
      <rPr>
        <i/>
        <sz val="14"/>
        <rFont val="Arial"/>
        <family val="2"/>
      </rPr>
      <t>Herposiphonia tenella</t>
    </r>
    <r>
      <rPr>
        <sz val="14"/>
        <rFont val="Arial"/>
        <family val="2"/>
      </rPr>
      <t xml:space="preserve"> (C. Agardh) Ambronn</t>
    </r>
  </si>
  <si>
    <r>
      <t xml:space="preserve">Nitophyllum albidum </t>
    </r>
    <r>
      <rPr>
        <sz val="14"/>
        <rFont val="Arial"/>
        <family val="2"/>
      </rPr>
      <t>Ardissone</t>
    </r>
  </si>
  <si>
    <r>
      <rPr>
        <i/>
        <sz val="14"/>
        <rFont val="Arial"/>
        <family val="2"/>
      </rPr>
      <t xml:space="preserve">Alsidium helmintochorton </t>
    </r>
    <r>
      <rPr>
        <sz val="14"/>
        <rFont val="Arial"/>
        <family val="2"/>
      </rPr>
      <t>(Schwendimann) Kützing</t>
    </r>
  </si>
  <si>
    <r>
      <rPr>
        <i/>
        <sz val="14"/>
        <rFont val="Arial"/>
        <family val="2"/>
      </rPr>
      <t xml:space="preserve">Ectocarpus siliculosus </t>
    </r>
    <r>
      <rPr>
        <sz val="14"/>
        <rFont val="Arial"/>
        <family val="2"/>
      </rPr>
      <t>(Dillwyn) Lyngbye</t>
    </r>
  </si>
  <si>
    <t>Lomentariaceae</t>
  </si>
  <si>
    <r>
      <t xml:space="preserve">Lomentaria compressa </t>
    </r>
    <r>
      <rPr>
        <sz val="14"/>
        <rFont val="Arial"/>
        <family val="2"/>
      </rPr>
      <t>(Kützing) Kylin</t>
    </r>
  </si>
  <si>
    <r>
      <t xml:space="preserve">Radicilingua reptans </t>
    </r>
    <r>
      <rPr>
        <sz val="14"/>
        <rFont val="Arial"/>
        <family val="2"/>
      </rPr>
      <t>(Kylin) Papenfuss</t>
    </r>
  </si>
  <si>
    <r>
      <t xml:space="preserve">Ulva intestinalis </t>
    </r>
    <r>
      <rPr>
        <sz val="14"/>
        <rFont val="Arial"/>
        <family val="2"/>
      </rPr>
      <t>Linnaeus</t>
    </r>
  </si>
  <si>
    <r>
      <t xml:space="preserve">Ulva flexuosa </t>
    </r>
    <r>
      <rPr>
        <sz val="14"/>
        <rFont val="Arial"/>
        <family val="2"/>
      </rPr>
      <t>Wulfen</t>
    </r>
    <r>
      <rPr>
        <i/>
        <sz val="14"/>
        <color theme="1"/>
        <rFont val="Arial"/>
        <family val="2"/>
      </rPr>
      <t xml:space="preserve"> </t>
    </r>
  </si>
  <si>
    <r>
      <rPr>
        <i/>
        <sz val="14"/>
        <rFont val="Arial"/>
        <family val="2"/>
      </rPr>
      <t xml:space="preserve">Stictyosiphon soriferus </t>
    </r>
    <r>
      <rPr>
        <sz val="14"/>
        <rFont val="Arial"/>
        <family val="2"/>
      </rPr>
      <t>(Reinke) Rosenvinge</t>
    </r>
  </si>
  <si>
    <t>Chordariaceae</t>
  </si>
  <si>
    <r>
      <t xml:space="preserve">Alsidium helmintochorton </t>
    </r>
    <r>
      <rPr>
        <sz val="14"/>
        <rFont val="Arial"/>
        <family val="2"/>
      </rPr>
      <t>(Schwendimann) Kützing</t>
    </r>
  </si>
  <si>
    <r>
      <t xml:space="preserve">Ectocarpus siliculosus </t>
    </r>
    <r>
      <rPr>
        <sz val="14"/>
        <rFont val="Arial"/>
        <family val="2"/>
      </rPr>
      <t>(Dillwyn) Lyngbye</t>
    </r>
  </si>
  <si>
    <r>
      <t xml:space="preserve">Stictyosiphon soriferus </t>
    </r>
    <r>
      <rPr>
        <sz val="14"/>
        <rFont val="Arial"/>
        <family val="2"/>
      </rPr>
      <t>(Reinke) Rosenvinge</t>
    </r>
  </si>
  <si>
    <r>
      <t xml:space="preserve">Ulva flexuosa </t>
    </r>
    <r>
      <rPr>
        <sz val="14"/>
        <rFont val="Arial"/>
        <family val="2"/>
      </rPr>
      <t>Wulfen</t>
    </r>
    <r>
      <rPr>
        <i/>
        <sz val="14"/>
        <color rgb="FF000000"/>
        <rFont val="Arial"/>
        <family val="2"/>
      </rPr>
      <t xml:space="preserve"> </t>
    </r>
  </si>
  <si>
    <t>Species name</t>
  </si>
  <si>
    <t>Species</t>
  </si>
  <si>
    <r>
      <t xml:space="preserve">Acanthophora nayadiformis </t>
    </r>
    <r>
      <rPr>
        <sz val="14"/>
        <color theme="1"/>
        <rFont val="Arial"/>
        <family val="2"/>
      </rPr>
      <t>(Delile) Papenfuss</t>
    </r>
  </si>
  <si>
    <r>
      <t>Agardhiella subulata (</t>
    </r>
    <r>
      <rPr>
        <sz val="14"/>
        <color theme="1"/>
        <rFont val="Arial"/>
        <family val="2"/>
      </rPr>
      <t>C. Agardh) Kraft</t>
    </r>
    <r>
      <rPr>
        <i/>
        <sz val="14"/>
        <color theme="1"/>
        <rFont val="Arial"/>
        <family val="2"/>
      </rPr>
      <t xml:space="preserve"> et </t>
    </r>
    <r>
      <rPr>
        <sz val="14"/>
        <color theme="1"/>
        <rFont val="Arial"/>
        <family val="2"/>
      </rPr>
      <t>M.J. Wynne</t>
    </r>
  </si>
  <si>
    <r>
      <t xml:space="preserve">Alsidium corallinum </t>
    </r>
    <r>
      <rPr>
        <sz val="14"/>
        <color theme="1"/>
        <rFont val="Arial"/>
        <family val="2"/>
      </rPr>
      <t>C. Agardh</t>
    </r>
  </si>
  <si>
    <r>
      <t xml:space="preserve">Callithamnion corymbosum </t>
    </r>
    <r>
      <rPr>
        <sz val="14"/>
        <color theme="1"/>
        <rFont val="Arial"/>
        <family val="2"/>
      </rPr>
      <t>(Smith) Lyngbye</t>
    </r>
  </si>
  <si>
    <r>
      <t xml:space="preserve">Ceramium siliquosum </t>
    </r>
    <r>
      <rPr>
        <sz val="14"/>
        <color theme="1"/>
        <rFont val="Arial"/>
        <family val="2"/>
      </rPr>
      <t xml:space="preserve">(Kützing) Maggs </t>
    </r>
    <r>
      <rPr>
        <i/>
        <sz val="14"/>
        <color theme="1"/>
        <rFont val="Arial"/>
        <family val="2"/>
      </rPr>
      <t xml:space="preserve">et </t>
    </r>
    <r>
      <rPr>
        <sz val="14"/>
        <color theme="1"/>
        <rFont val="Arial"/>
        <family val="2"/>
      </rPr>
      <t>Hommersand</t>
    </r>
  </si>
  <si>
    <r>
      <t xml:space="preserve">Chaetomorpha linum </t>
    </r>
    <r>
      <rPr>
        <sz val="14"/>
        <color theme="1"/>
        <rFont val="Arial"/>
        <family val="2"/>
      </rPr>
      <t>(O.F. Müller) Kützing</t>
    </r>
  </si>
  <si>
    <r>
      <t xml:space="preserve">Chondria capillaris </t>
    </r>
    <r>
      <rPr>
        <sz val="14"/>
        <color theme="1"/>
        <rFont val="Arial"/>
        <family val="2"/>
      </rPr>
      <t>(Hudson) M.J. Wynne</t>
    </r>
  </si>
  <si>
    <r>
      <t xml:space="preserve">Ectocarpus siliculosus </t>
    </r>
    <r>
      <rPr>
        <sz val="14"/>
        <color theme="1"/>
        <rFont val="Arial"/>
        <family val="2"/>
      </rPr>
      <t>(Dillwyn) Lyngbye</t>
    </r>
  </si>
  <si>
    <r>
      <t xml:space="preserve">Dictyota dichotoma </t>
    </r>
    <r>
      <rPr>
        <sz val="14"/>
        <color theme="1"/>
        <rFont val="Arial"/>
        <family val="2"/>
      </rPr>
      <t xml:space="preserve">(Hudson) J.V. Lamouroux var. </t>
    </r>
    <r>
      <rPr>
        <i/>
        <sz val="14"/>
        <color theme="1"/>
        <rFont val="Arial"/>
        <family val="2"/>
      </rPr>
      <t>dichotoma</t>
    </r>
  </si>
  <si>
    <r>
      <t xml:space="preserve">Gracilaria bursa-pastoris </t>
    </r>
    <r>
      <rPr>
        <sz val="14"/>
        <color theme="1"/>
        <rFont val="Arial"/>
        <family val="2"/>
      </rPr>
      <t>(S.G. Gmelin) P.C. Silva</t>
    </r>
  </si>
  <si>
    <r>
      <t xml:space="preserve">Gracilaria dura </t>
    </r>
    <r>
      <rPr>
        <sz val="14"/>
        <color theme="1"/>
        <rFont val="Arial"/>
        <family val="2"/>
      </rPr>
      <t>(C. Agardh) J. Agardh</t>
    </r>
  </si>
  <si>
    <r>
      <t xml:space="preserve">Gracilaria gracilis </t>
    </r>
    <r>
      <rPr>
        <sz val="14"/>
        <color theme="1"/>
        <rFont val="Arial"/>
        <family val="2"/>
      </rPr>
      <t>(Stackhouse) Steentoft, L.M. Irvine</t>
    </r>
    <r>
      <rPr>
        <i/>
        <sz val="14"/>
        <color theme="1"/>
        <rFont val="Arial"/>
        <family val="2"/>
      </rPr>
      <t xml:space="preserve"> et </t>
    </r>
    <r>
      <rPr>
        <sz val="14"/>
        <color theme="1"/>
        <rFont val="Arial"/>
        <family val="2"/>
      </rPr>
      <t>Farnham</t>
    </r>
  </si>
  <si>
    <r>
      <t>Gracilaria longa</t>
    </r>
    <r>
      <rPr>
        <sz val="14"/>
        <color theme="1"/>
        <rFont val="Arial"/>
        <family val="2"/>
      </rPr>
      <t xml:space="preserve"> Gargiulo, De Masi </t>
    </r>
    <r>
      <rPr>
        <i/>
        <sz val="14"/>
        <color theme="1"/>
        <rFont val="Arial"/>
        <family val="2"/>
      </rPr>
      <t>et</t>
    </r>
    <r>
      <rPr>
        <sz val="14"/>
        <color theme="1"/>
        <rFont val="Arial"/>
        <family val="2"/>
      </rPr>
      <t xml:space="preserve"> Tripodi</t>
    </r>
  </si>
  <si>
    <r>
      <t xml:space="preserve">Gracilariopsis longissima </t>
    </r>
    <r>
      <rPr>
        <sz val="14"/>
        <color theme="1"/>
        <rFont val="Arial"/>
        <family val="2"/>
      </rPr>
      <t>(S.G. Gmelin) Steentoft, L.M. Irvine</t>
    </r>
    <r>
      <rPr>
        <i/>
        <sz val="14"/>
        <color theme="1"/>
        <rFont val="Arial"/>
        <family val="2"/>
      </rPr>
      <t xml:space="preserve"> et </t>
    </r>
    <r>
      <rPr>
        <sz val="14"/>
        <color theme="1"/>
        <rFont val="Arial"/>
        <family val="2"/>
      </rPr>
      <t>Farnham</t>
    </r>
  </si>
  <si>
    <r>
      <t xml:space="preserve">Grateloupia filicina </t>
    </r>
    <r>
      <rPr>
        <sz val="14"/>
        <color theme="1"/>
        <rFont val="Arial"/>
        <family val="2"/>
      </rPr>
      <t>(J.V. Lamouroux) C. Agardh</t>
    </r>
  </si>
  <si>
    <r>
      <t xml:space="preserve">Griffithsia schousboei </t>
    </r>
    <r>
      <rPr>
        <sz val="14"/>
        <color theme="1"/>
        <rFont val="Arial"/>
        <family val="2"/>
      </rPr>
      <t>Montagne</t>
    </r>
  </si>
  <si>
    <r>
      <t xml:space="preserve">Hypnea spinella </t>
    </r>
    <r>
      <rPr>
        <sz val="14"/>
        <color theme="1"/>
        <rFont val="Arial"/>
        <family val="2"/>
      </rPr>
      <t>(C. Agardh) Kützing</t>
    </r>
  </si>
  <si>
    <r>
      <t xml:space="preserve">Lomentaria compressa </t>
    </r>
    <r>
      <rPr>
        <sz val="14"/>
        <color theme="1"/>
        <rFont val="Arial"/>
        <family val="2"/>
      </rPr>
      <t>(Kützing) Kylin</t>
    </r>
  </si>
  <si>
    <r>
      <t xml:space="preserve">Polysiphonia subulata </t>
    </r>
    <r>
      <rPr>
        <sz val="14"/>
        <color theme="1"/>
        <rFont val="Arial"/>
        <family val="2"/>
      </rPr>
      <t>(Ducluzeau) Kützing</t>
    </r>
  </si>
  <si>
    <r>
      <t xml:space="preserve">Porphyra umbilicalis </t>
    </r>
    <r>
      <rPr>
        <sz val="14"/>
        <color theme="1"/>
        <rFont val="Arial"/>
        <family val="2"/>
      </rPr>
      <t>(Linnaeus) J. Agardh</t>
    </r>
  </si>
  <si>
    <r>
      <t xml:space="preserve">Radicilingua thysanorhizans </t>
    </r>
    <r>
      <rPr>
        <sz val="14"/>
        <color theme="1"/>
        <rFont val="Arial"/>
        <family val="2"/>
      </rPr>
      <t>(Holmes) Papenfuss</t>
    </r>
  </si>
  <si>
    <r>
      <t xml:space="preserve">Rhodymenia pseudopalmata </t>
    </r>
    <r>
      <rPr>
        <sz val="14"/>
        <color theme="1"/>
        <rFont val="Arial"/>
        <family val="2"/>
      </rPr>
      <t>(J.V. Lamouroux) P.C. Silva</t>
    </r>
  </si>
  <si>
    <r>
      <t xml:space="preserve">Spyridia filamentosa </t>
    </r>
    <r>
      <rPr>
        <sz val="14"/>
        <color theme="1"/>
        <rFont val="Arial"/>
        <family val="2"/>
      </rPr>
      <t xml:space="preserve">(Wulfen) Harvey </t>
    </r>
  </si>
  <si>
    <r>
      <t xml:space="preserve">Ulva flexuosa </t>
    </r>
    <r>
      <rPr>
        <sz val="14"/>
        <color theme="1"/>
        <rFont val="Arial"/>
        <family val="2"/>
      </rPr>
      <t>Wulfen</t>
    </r>
    <r>
      <rPr>
        <i/>
        <sz val="14"/>
        <color theme="1"/>
        <rFont val="Arial"/>
        <family val="2"/>
      </rPr>
      <t xml:space="preserve"> </t>
    </r>
  </si>
  <si>
    <r>
      <t xml:space="preserve">Ulva laetevirens </t>
    </r>
    <r>
      <rPr>
        <sz val="14"/>
        <color theme="1"/>
        <rFont val="Arial"/>
        <family val="2"/>
      </rPr>
      <t>Areschoug</t>
    </r>
  </si>
  <si>
    <r>
      <t xml:space="preserve">Ulva prolifera </t>
    </r>
    <r>
      <rPr>
        <sz val="14"/>
        <color theme="1"/>
        <rFont val="Arial"/>
        <family val="2"/>
      </rPr>
      <t>O.F. Müller</t>
    </r>
  </si>
  <si>
    <r>
      <t xml:space="preserve">Alsidium helminthochorton </t>
    </r>
    <r>
      <rPr>
        <sz val="14"/>
        <color theme="1"/>
        <rFont val="Arial"/>
        <family val="2"/>
      </rPr>
      <t>(Schwendimann) Kützing</t>
    </r>
  </si>
  <si>
    <r>
      <t xml:space="preserve">Treptacantha barbata </t>
    </r>
    <r>
      <rPr>
        <sz val="14"/>
        <color theme="1"/>
        <rFont val="Arial"/>
        <family val="2"/>
      </rPr>
      <t xml:space="preserve">(Stackhouse) Orellana </t>
    </r>
    <r>
      <rPr>
        <i/>
        <sz val="14"/>
        <color theme="1"/>
        <rFont val="Arial"/>
        <family val="2"/>
      </rPr>
      <t xml:space="preserve">et </t>
    </r>
    <r>
      <rPr>
        <sz val="14"/>
        <color theme="1"/>
        <rFont val="Arial"/>
        <family val="2"/>
      </rPr>
      <t>Sansón</t>
    </r>
  </si>
  <si>
    <r>
      <t xml:space="preserve">Herposiphonia tenella </t>
    </r>
    <r>
      <rPr>
        <sz val="14"/>
        <color theme="1"/>
        <rFont val="Arial"/>
        <family val="2"/>
      </rPr>
      <t>(C. Agardh) Ambronn</t>
    </r>
  </si>
  <si>
    <r>
      <t xml:space="preserve">Polysiphonia denudata </t>
    </r>
    <r>
      <rPr>
        <sz val="14"/>
        <color theme="1"/>
        <rFont val="Arial"/>
        <family val="2"/>
      </rPr>
      <t xml:space="preserve">(Dillwyn) Greville </t>
    </r>
    <r>
      <rPr>
        <i/>
        <sz val="14"/>
        <color theme="1"/>
        <rFont val="Arial"/>
        <family val="2"/>
      </rPr>
      <t xml:space="preserve">ex </t>
    </r>
    <r>
      <rPr>
        <sz val="14"/>
        <color theme="1"/>
        <rFont val="Arial"/>
        <family val="2"/>
      </rPr>
      <t>Harvey</t>
    </r>
  </si>
  <si>
    <r>
      <t xml:space="preserve">Dictyota dichotoma </t>
    </r>
    <r>
      <rPr>
        <sz val="14"/>
        <color indexed="8"/>
        <rFont val="Arial"/>
        <family val="2"/>
      </rPr>
      <t xml:space="preserve">(Hudson) J.V. Lamouroux </t>
    </r>
    <r>
      <rPr>
        <sz val="14"/>
        <color indexed="8"/>
        <rFont val="Arial"/>
        <family val="2"/>
      </rPr>
      <t>var</t>
    </r>
    <r>
      <rPr>
        <i/>
        <sz val="14"/>
        <color indexed="8"/>
        <rFont val="Arial"/>
        <family val="2"/>
      </rPr>
      <t>. intricata</t>
    </r>
    <r>
      <rPr>
        <sz val="14"/>
        <color indexed="8"/>
        <rFont val="Arial"/>
        <family val="2"/>
      </rPr>
      <t xml:space="preserve"> (C. Agardh) Greville</t>
    </r>
  </si>
  <si>
    <t>Unidentified colonial Diatoms</t>
  </si>
  <si>
    <t>Bangiales</t>
  </si>
  <si>
    <t>Bangiaceae</t>
  </si>
  <si>
    <t>Halymeniales</t>
  </si>
  <si>
    <t>Halymeniaceae</t>
  </si>
  <si>
    <r>
      <t xml:space="preserve">Bryopsis plumosa </t>
    </r>
    <r>
      <rPr>
        <sz val="14"/>
        <color theme="1"/>
        <rFont val="Arial"/>
        <family val="2"/>
      </rPr>
      <t>(Hudson) C. Agardh</t>
    </r>
  </si>
  <si>
    <r>
      <t xml:space="preserve">Caulerpa prolifera </t>
    </r>
    <r>
      <rPr>
        <sz val="14"/>
        <color theme="1"/>
        <rFont val="Arial"/>
        <family val="2"/>
      </rPr>
      <t>(Forsskål) J.V. Lamouroux</t>
    </r>
  </si>
  <si>
    <r>
      <t xml:space="preserve">Ceramium siliquosum </t>
    </r>
    <r>
      <rPr>
        <sz val="14"/>
        <color theme="1"/>
        <rFont val="Arial"/>
        <family val="2"/>
      </rPr>
      <t xml:space="preserve">(Kützing) Maggs </t>
    </r>
    <r>
      <rPr>
        <i/>
        <sz val="14"/>
        <color theme="1"/>
        <rFont val="Arial"/>
        <family val="2"/>
      </rPr>
      <t xml:space="preserve">et </t>
    </r>
    <r>
      <rPr>
        <sz val="14"/>
        <color theme="1"/>
        <rFont val="Arial"/>
        <family val="2"/>
      </rPr>
      <t xml:space="preserve">Hommersand </t>
    </r>
  </si>
  <si>
    <r>
      <t xml:space="preserve">Ulva curvata </t>
    </r>
    <r>
      <rPr>
        <sz val="14"/>
        <color theme="1"/>
        <rFont val="Arial"/>
        <family val="2"/>
      </rPr>
      <t>(Kützing) De Toni</t>
    </r>
  </si>
  <si>
    <r>
      <t xml:space="preserve">Ulva pseudorotundata </t>
    </r>
    <r>
      <rPr>
        <sz val="14"/>
        <color theme="1"/>
        <rFont val="Arial"/>
        <family val="2"/>
      </rPr>
      <t>Cormaci, G. Furnari</t>
    </r>
    <r>
      <rPr>
        <i/>
        <sz val="14"/>
        <color theme="1"/>
        <rFont val="Arial"/>
        <family val="2"/>
      </rPr>
      <t xml:space="preserve"> et </t>
    </r>
    <r>
      <rPr>
        <sz val="14"/>
        <color theme="1"/>
        <rFont val="Arial"/>
        <family val="2"/>
      </rPr>
      <t>Alongi</t>
    </r>
  </si>
  <si>
    <r>
      <t xml:space="preserve">Ulva rigida </t>
    </r>
    <r>
      <rPr>
        <sz val="14"/>
        <color theme="1"/>
        <rFont val="Arial"/>
        <family val="2"/>
      </rPr>
      <t>C. Agardh</t>
    </r>
  </si>
  <si>
    <r>
      <t xml:space="preserve">Umbraulva dangeardii </t>
    </r>
    <r>
      <rPr>
        <sz val="14"/>
        <color theme="1"/>
        <rFont val="Arial"/>
        <family val="2"/>
      </rPr>
      <t xml:space="preserve">M.J. Wynne </t>
    </r>
    <r>
      <rPr>
        <i/>
        <sz val="14"/>
        <color theme="1"/>
        <rFont val="Arial"/>
        <family val="2"/>
      </rPr>
      <t xml:space="preserve">et </t>
    </r>
    <r>
      <rPr>
        <sz val="14"/>
        <color theme="1"/>
        <rFont val="Arial"/>
        <family val="2"/>
      </rPr>
      <t>G. Furnari</t>
    </r>
  </si>
  <si>
    <r>
      <t xml:space="preserve">Solieria filiformis </t>
    </r>
    <r>
      <rPr>
        <sz val="14"/>
        <color theme="1"/>
        <rFont val="Arial"/>
        <family val="2"/>
      </rPr>
      <t xml:space="preserve">(Kützing) P.W. Gabrielson </t>
    </r>
  </si>
  <si>
    <r>
      <t xml:space="preserve">Agardhiella subulata </t>
    </r>
    <r>
      <rPr>
        <sz val="14"/>
        <color theme="1"/>
        <rFont val="Arial"/>
        <family val="2"/>
      </rPr>
      <t xml:space="preserve">(C. Agardh) Kraft </t>
    </r>
    <r>
      <rPr>
        <i/>
        <sz val="14"/>
        <color theme="1"/>
        <rFont val="Arial"/>
        <family val="2"/>
      </rPr>
      <t xml:space="preserve">et </t>
    </r>
    <r>
      <rPr>
        <sz val="14"/>
        <color theme="1"/>
        <rFont val="Arial"/>
        <family val="2"/>
      </rPr>
      <t>M.J. Wynne</t>
    </r>
  </si>
  <si>
    <t>Dictyotales</t>
  </si>
  <si>
    <t>Dictyotaceae</t>
  </si>
  <si>
    <t>Bryopsidales</t>
  </si>
  <si>
    <t>Bryopsidaceae</t>
  </si>
  <si>
    <t>Caulerpaceae</t>
  </si>
  <si>
    <r>
      <t xml:space="preserve">Agardhiella subulata </t>
    </r>
    <r>
      <rPr>
        <sz val="14"/>
        <color theme="1"/>
        <rFont val="Arial"/>
        <family val="2"/>
      </rPr>
      <t>(C. Agardh) Kraft</t>
    </r>
    <r>
      <rPr>
        <i/>
        <sz val="14"/>
        <color theme="1"/>
        <rFont val="Arial"/>
        <family val="2"/>
      </rPr>
      <t xml:space="preserve"> et</t>
    </r>
    <r>
      <rPr>
        <sz val="14"/>
        <color theme="1"/>
        <rFont val="Arial"/>
        <family val="2"/>
      </rPr>
      <t xml:space="preserve"> M.J. Wynne</t>
    </r>
  </si>
  <si>
    <r>
      <t xml:space="preserve">Radicilingua reptans </t>
    </r>
    <r>
      <rPr>
        <sz val="14"/>
        <color theme="1"/>
        <rFont val="Arial"/>
        <family val="2"/>
      </rPr>
      <t>(Kylin) Papenfuss</t>
    </r>
  </si>
  <si>
    <r>
      <t xml:space="preserve">Solieria filiformis (Kützing) </t>
    </r>
    <r>
      <rPr>
        <sz val="14"/>
        <color theme="1"/>
        <rFont val="Arial"/>
        <family val="2"/>
      </rPr>
      <t xml:space="preserve">P.W. Gabrielson </t>
    </r>
  </si>
  <si>
    <r>
      <t xml:space="preserve">Ulva compressa </t>
    </r>
    <r>
      <rPr>
        <sz val="14"/>
        <color theme="1"/>
        <rFont val="Arial"/>
        <family val="2"/>
      </rPr>
      <t>Linnaeus</t>
    </r>
  </si>
  <si>
    <r>
      <t xml:space="preserve">Callithamnion corymbosum </t>
    </r>
    <r>
      <rPr>
        <sz val="14"/>
        <color rgb="FF000000"/>
        <rFont val="Arial"/>
        <family val="2"/>
      </rPr>
      <t>(Smith) Lyngbye</t>
    </r>
  </si>
  <si>
    <r>
      <rPr>
        <i/>
        <sz val="14"/>
        <rFont val="Arial"/>
        <family val="2"/>
      </rPr>
      <t>Ceramium siliquosum</t>
    </r>
    <r>
      <rPr>
        <sz val="14"/>
        <rFont val="Arial"/>
        <family val="2"/>
      </rPr>
      <t xml:space="preserve"> (Kützing) Maggs </t>
    </r>
    <r>
      <rPr>
        <i/>
        <sz val="14"/>
        <rFont val="Arial"/>
        <family val="2"/>
      </rPr>
      <t>et</t>
    </r>
    <r>
      <rPr>
        <sz val="14"/>
        <rFont val="Arial"/>
        <family val="2"/>
      </rPr>
      <t xml:space="preserve"> Hommersand </t>
    </r>
  </si>
  <si>
    <r>
      <rPr>
        <i/>
        <sz val="14"/>
        <rFont val="Arial"/>
        <family val="2"/>
      </rPr>
      <t>Phyllophora</t>
    </r>
    <r>
      <rPr>
        <sz val="14"/>
        <rFont val="Arial"/>
        <family val="2"/>
      </rPr>
      <t xml:space="preserve"> sp.</t>
    </r>
  </si>
  <si>
    <t>Phyllophoraceae</t>
  </si>
  <si>
    <r>
      <t xml:space="preserve">Cladophora sericea </t>
    </r>
    <r>
      <rPr>
        <sz val="14"/>
        <color rgb="FF000000"/>
        <rFont val="Arial"/>
        <family val="2"/>
      </rPr>
      <t>(Hudson) Kützing</t>
    </r>
  </si>
  <si>
    <r>
      <rPr>
        <i/>
        <sz val="14"/>
        <rFont val="Arial"/>
        <family val="2"/>
      </rPr>
      <t>Hypnea spinella</t>
    </r>
    <r>
      <rPr>
        <sz val="14"/>
        <rFont val="Arial"/>
        <family val="2"/>
      </rPr>
      <t xml:space="preserve"> (C. Agardh) Kützing</t>
    </r>
  </si>
  <si>
    <r>
      <t xml:space="preserve">Solieria filiformis </t>
    </r>
    <r>
      <rPr>
        <sz val="14"/>
        <color theme="1"/>
        <rFont val="Arial"/>
        <family val="2"/>
      </rPr>
      <t>(Kützing) P.W. Gabrielson</t>
    </r>
    <r>
      <rPr>
        <i/>
        <sz val="14"/>
        <color theme="1"/>
        <rFont val="Arial"/>
        <family val="2"/>
      </rPr>
      <t xml:space="preserve"> </t>
    </r>
  </si>
  <si>
    <r>
      <t xml:space="preserve">Agardhiella subulata (C. Agardh) </t>
    </r>
    <r>
      <rPr>
        <sz val="14"/>
        <color theme="1"/>
        <rFont val="Arial"/>
        <family val="2"/>
      </rPr>
      <t xml:space="preserve">Kraft </t>
    </r>
    <r>
      <rPr>
        <i/>
        <sz val="14"/>
        <color theme="1"/>
        <rFont val="Arial"/>
        <family val="2"/>
      </rPr>
      <t xml:space="preserve">et </t>
    </r>
    <r>
      <rPr>
        <sz val="14"/>
        <color theme="1"/>
        <rFont val="Arial"/>
        <family val="2"/>
      </rPr>
      <t>M.J. Wynne</t>
    </r>
  </si>
  <si>
    <r>
      <t xml:space="preserve">Agardhiella subulata </t>
    </r>
    <r>
      <rPr>
        <sz val="14"/>
        <color theme="1"/>
        <rFont val="Arial"/>
        <family val="2"/>
      </rPr>
      <t>(C. Agardh)</t>
    </r>
    <r>
      <rPr>
        <i/>
        <sz val="14"/>
        <color theme="1"/>
        <rFont val="Arial"/>
        <family val="2"/>
      </rPr>
      <t xml:space="preserve"> </t>
    </r>
    <r>
      <rPr>
        <sz val="14"/>
        <color theme="1"/>
        <rFont val="Arial"/>
        <family val="2"/>
      </rPr>
      <t xml:space="preserve">Kraft </t>
    </r>
    <r>
      <rPr>
        <i/>
        <sz val="14"/>
        <color theme="1"/>
        <rFont val="Arial"/>
        <family val="2"/>
      </rPr>
      <t xml:space="preserve">et </t>
    </r>
    <r>
      <rPr>
        <sz val="14"/>
        <color theme="1"/>
        <rFont val="Arial"/>
        <family val="2"/>
      </rPr>
      <t>M.J. Wynne</t>
    </r>
  </si>
  <si>
    <r>
      <rPr>
        <i/>
        <sz val="14"/>
        <rFont val="Arial"/>
        <family val="2"/>
      </rPr>
      <t>Cladophora</t>
    </r>
    <r>
      <rPr>
        <sz val="14"/>
        <rFont val="Arial"/>
        <family val="2"/>
      </rPr>
      <t xml:space="preserve"> sp.</t>
    </r>
  </si>
  <si>
    <r>
      <t xml:space="preserve">Ulva intestinalis </t>
    </r>
    <r>
      <rPr>
        <sz val="14"/>
        <color theme="1"/>
        <rFont val="Arial"/>
        <family val="2"/>
      </rPr>
      <t>Linnaeus</t>
    </r>
  </si>
  <si>
    <t>Unidentified Cyanophyta</t>
  </si>
  <si>
    <r>
      <rPr>
        <i/>
        <sz val="14"/>
        <rFont val="Arial"/>
        <family val="2"/>
      </rPr>
      <t xml:space="preserve">Ceramium tenerrimum </t>
    </r>
    <r>
      <rPr>
        <sz val="14"/>
        <rFont val="Arial"/>
        <family val="2"/>
      </rPr>
      <t>(G. Martens) Okamura</t>
    </r>
  </si>
  <si>
    <r>
      <rPr>
        <i/>
        <sz val="14"/>
        <rFont val="Arial"/>
        <family val="2"/>
      </rPr>
      <t>Gastroclonium clavatum</t>
    </r>
    <r>
      <rPr>
        <sz val="14"/>
        <rFont val="Arial"/>
        <family val="2"/>
      </rPr>
      <t xml:space="preserve"> (Roth) Ardissone</t>
    </r>
  </si>
  <si>
    <r>
      <rPr>
        <i/>
        <sz val="14"/>
        <rFont val="Arial"/>
        <family val="2"/>
      </rPr>
      <t>Gayliella flaccida</t>
    </r>
    <r>
      <rPr>
        <sz val="14"/>
        <rFont val="Arial"/>
        <family val="2"/>
      </rPr>
      <t xml:space="preserve"> (Harvey </t>
    </r>
    <r>
      <rPr>
        <i/>
        <sz val="14"/>
        <rFont val="Arial"/>
        <family val="2"/>
      </rPr>
      <t>ex</t>
    </r>
    <r>
      <rPr>
        <sz val="14"/>
        <rFont val="Arial"/>
        <family val="2"/>
      </rPr>
      <t xml:space="preserve"> Kützing) T.O. Choi </t>
    </r>
    <r>
      <rPr>
        <i/>
        <sz val="14"/>
        <rFont val="Arial"/>
        <family val="2"/>
      </rPr>
      <t xml:space="preserve">et </t>
    </r>
    <r>
      <rPr>
        <sz val="14"/>
        <rFont val="Arial"/>
        <family val="2"/>
      </rPr>
      <t>L.J. McIvor</t>
    </r>
  </si>
  <si>
    <t>Champiaceae</t>
  </si>
  <si>
    <r>
      <t xml:space="preserve">Cladophora ruchingeri </t>
    </r>
    <r>
      <rPr>
        <sz val="14"/>
        <color theme="1"/>
        <rFont val="Arial"/>
        <family val="2"/>
      </rPr>
      <t>(C. Agardh) Kützing</t>
    </r>
  </si>
  <si>
    <t>Phylum</t>
  </si>
  <si>
    <t>Order</t>
  </si>
  <si>
    <t>Family</t>
  </si>
  <si>
    <t>NIS</t>
  </si>
  <si>
    <t>Biogeographic element</t>
  </si>
  <si>
    <t>+</t>
  </si>
  <si>
    <t>Cyanobacteria</t>
  </si>
  <si>
    <t>Unidentified colonial Cyanobacteria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</si>
</sst>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color theme="1"/>
      <name val="Arial"/>
      <family val="2"/>
    </font>
    <font>
      <i/>
      <sz val="14"/>
      <color theme="1"/>
      <name val="Arial"/>
      <family val="2"/>
    </font>
    <font>
      <i/>
      <sz val="14"/>
      <name val="Arial"/>
      <family val="2"/>
    </font>
    <font>
      <b/>
      <sz val="14"/>
      <name val="Arial"/>
      <family val="2"/>
    </font>
    <font>
      <b/>
      <sz val="14"/>
      <color rgb="FF000000"/>
      <name val="Arial"/>
      <family val="2"/>
    </font>
    <font>
      <i/>
      <sz val="14"/>
      <color rgb="FF000000"/>
      <name val="Arial"/>
      <family val="2"/>
    </font>
    <font>
      <sz val="14"/>
      <color theme="1"/>
      <name val="Arial"/>
      <family val="2"/>
    </font>
    <font>
      <i/>
      <sz val="14"/>
      <color indexed="8"/>
      <name val="Arial"/>
      <family val="2"/>
    </font>
    <font>
      <sz val="14"/>
      <color indexed="8"/>
      <name val="Arial"/>
      <family val="2"/>
    </font>
    <font>
      <sz val="14"/>
      <color rgb="FF000000"/>
      <name val="Arial"/>
      <family val="2"/>
    </font>
    <font>
      <b/>
      <sz val="14"/>
      <color rgb="FFFF0000"/>
      <name val="Arial"/>
      <family val="2"/>
    </font>
    <font>
      <b/>
      <sz val="14"/>
      <color theme="5" tint="-0.499984740745262"/>
      <name val="Arial"/>
      <family val="2"/>
    </font>
    <font>
      <b/>
      <sz val="14"/>
      <color rgb="FF00B050"/>
      <name val="Arial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93">
    <xf numFmtId="0" fontId="0" fillId="0" borderId="0" xfId="0"/>
    <xf numFmtId="0" fontId="0" fillId="0" borderId="0" xfId="0" applyFill="1"/>
    <xf numFmtId="0" fontId="0" fillId="0" borderId="0" xfId="0" applyBorder="1"/>
    <xf numFmtId="0" fontId="1" fillId="0" borderId="0" xfId="0" applyFont="1" applyFill="1"/>
    <xf numFmtId="2" fontId="4" fillId="0" borderId="0" xfId="0" applyNumberFormat="1" applyFont="1" applyFill="1"/>
    <xf numFmtId="2" fontId="4" fillId="0" borderId="18" xfId="0" applyNumberFormat="1" applyFont="1" applyFill="1" applyBorder="1"/>
    <xf numFmtId="2" fontId="4" fillId="0" borderId="0" xfId="0" applyNumberFormat="1" applyFont="1" applyFill="1" applyBorder="1"/>
    <xf numFmtId="2" fontId="4" fillId="0" borderId="19" xfId="0" applyNumberFormat="1" applyFont="1" applyFill="1" applyBorder="1"/>
    <xf numFmtId="2" fontId="4" fillId="0" borderId="20" xfId="0" applyNumberFormat="1" applyFont="1" applyFill="1" applyBorder="1"/>
    <xf numFmtId="2" fontId="4" fillId="0" borderId="21" xfId="0" applyNumberFormat="1" applyFont="1" applyFill="1" applyBorder="1"/>
    <xf numFmtId="2" fontId="4" fillId="0" borderId="22" xfId="0" applyNumberFormat="1" applyFont="1" applyFill="1" applyBorder="1"/>
    <xf numFmtId="0" fontId="5" fillId="0" borderId="0" xfId="0" applyFont="1"/>
    <xf numFmtId="0" fontId="4" fillId="0" borderId="0" xfId="0" applyFont="1"/>
    <xf numFmtId="0" fontId="6" fillId="0" borderId="0" xfId="0" applyFont="1"/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2" fontId="7" fillId="0" borderId="0" xfId="0" applyNumberFormat="1" applyFont="1" applyFill="1"/>
    <xf numFmtId="0" fontId="8" fillId="0" borderId="0" xfId="0" applyFont="1" applyBorder="1"/>
    <xf numFmtId="2" fontId="4" fillId="0" borderId="0" xfId="0" applyNumberFormat="1" applyFont="1" applyFill="1" applyBorder="1" applyAlignment="1">
      <alignment vertical="center"/>
    </xf>
    <xf numFmtId="2" fontId="4" fillId="0" borderId="19" xfId="0" applyNumberFormat="1" applyFont="1" applyFill="1" applyBorder="1" applyAlignment="1">
      <alignment vertical="center"/>
    </xf>
    <xf numFmtId="2" fontId="4" fillId="0" borderId="18" xfId="0" applyNumberFormat="1" applyFont="1" applyFill="1" applyBorder="1" applyAlignment="1">
      <alignment vertical="center"/>
    </xf>
    <xf numFmtId="0" fontId="4" fillId="0" borderId="0" xfId="0" applyFont="1" applyFill="1"/>
    <xf numFmtId="0" fontId="4" fillId="0" borderId="0" xfId="0" applyFont="1" applyFill="1" applyBorder="1"/>
    <xf numFmtId="0" fontId="10" fillId="0" borderId="0" xfId="0" applyFont="1"/>
    <xf numFmtId="0" fontId="7" fillId="0" borderId="0" xfId="0" applyFont="1"/>
    <xf numFmtId="2" fontId="4" fillId="0" borderId="6" xfId="0" applyNumberFormat="1" applyFont="1" applyFill="1" applyBorder="1"/>
    <xf numFmtId="2" fontId="4" fillId="0" borderId="7" xfId="0" applyNumberFormat="1" applyFont="1" applyFill="1" applyBorder="1"/>
    <xf numFmtId="2" fontId="4" fillId="0" borderId="6" xfId="0" applyNumberFormat="1" applyFont="1" applyFill="1" applyBorder="1" applyAlignment="1">
      <alignment vertical="center"/>
    </xf>
    <xf numFmtId="2" fontId="4" fillId="0" borderId="7" xfId="0" applyNumberFormat="1" applyFont="1" applyFill="1" applyBorder="1" applyAlignment="1">
      <alignment vertical="center"/>
    </xf>
    <xf numFmtId="2" fontId="4" fillId="0" borderId="8" xfId="0" applyNumberFormat="1" applyFont="1" applyFill="1" applyBorder="1"/>
    <xf numFmtId="2" fontId="4" fillId="0" borderId="10" xfId="0" applyNumberFormat="1" applyFont="1" applyFill="1" applyBorder="1"/>
    <xf numFmtId="2" fontId="4" fillId="0" borderId="11" xfId="0" applyNumberFormat="1" applyFont="1" applyFill="1" applyBorder="1"/>
    <xf numFmtId="2" fontId="8" fillId="0" borderId="3" xfId="0" applyNumberFormat="1" applyFont="1" applyFill="1" applyBorder="1"/>
    <xf numFmtId="2" fontId="8" fillId="0" borderId="4" xfId="0" applyNumberFormat="1" applyFont="1" applyFill="1" applyBorder="1"/>
    <xf numFmtId="2" fontId="8" fillId="0" borderId="5" xfId="0" applyNumberFormat="1" applyFont="1" applyFill="1" applyBorder="1"/>
    <xf numFmtId="0" fontId="8" fillId="0" borderId="3" xfId="0" applyFont="1" applyFill="1" applyBorder="1"/>
    <xf numFmtId="0" fontId="8" fillId="0" borderId="4" xfId="0" applyFont="1" applyFill="1" applyBorder="1"/>
    <xf numFmtId="0" fontId="8" fillId="0" borderId="5" xfId="0" applyFont="1" applyFill="1" applyBorder="1"/>
    <xf numFmtId="0" fontId="8" fillId="0" borderId="6" xfId="0" applyFont="1" applyFill="1" applyBorder="1"/>
    <xf numFmtId="0" fontId="4" fillId="0" borderId="7" xfId="0" applyFont="1" applyFill="1" applyBorder="1"/>
    <xf numFmtId="0" fontId="12" fillId="0" borderId="0" xfId="0" applyFont="1"/>
    <xf numFmtId="0" fontId="13" fillId="0" borderId="0" xfId="0" applyFont="1"/>
    <xf numFmtId="0" fontId="8" fillId="0" borderId="0" xfId="0" applyFont="1" applyFill="1"/>
    <xf numFmtId="0" fontId="11" fillId="0" borderId="0" xfId="0" applyFont="1"/>
    <xf numFmtId="0" fontId="8" fillId="0" borderId="0" xfId="0" applyFont="1" applyBorder="1" applyAlignment="1">
      <alignment horizontal="center"/>
    </xf>
    <xf numFmtId="0" fontId="4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/>
    <xf numFmtId="0" fontId="8" fillId="0" borderId="3" xfId="0" applyFont="1" applyBorder="1"/>
    <xf numFmtId="0" fontId="8" fillId="0" borderId="4" xfId="0" applyFont="1" applyBorder="1"/>
    <xf numFmtId="0" fontId="8" fillId="0" borderId="5" xfId="0" applyFont="1" applyBorder="1"/>
    <xf numFmtId="2" fontId="4" fillId="0" borderId="6" xfId="0" applyNumberFormat="1" applyFont="1" applyBorder="1"/>
    <xf numFmtId="2" fontId="4" fillId="0" borderId="7" xfId="0" applyNumberFormat="1" applyFont="1" applyBorder="1"/>
    <xf numFmtId="2" fontId="4" fillId="0" borderId="8" xfId="0" applyNumberFormat="1" applyFont="1" applyBorder="1"/>
    <xf numFmtId="2" fontId="4" fillId="0" borderId="10" xfId="0" applyNumberFormat="1" applyFont="1" applyBorder="1"/>
    <xf numFmtId="2" fontId="4" fillId="0" borderId="11" xfId="0" applyNumberFormat="1" applyFont="1" applyBorder="1"/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/>
    <xf numFmtId="0" fontId="4" fillId="0" borderId="0" xfId="0" applyFont="1" applyBorder="1" applyAlignment="1">
      <alignment horizontal="center"/>
    </xf>
    <xf numFmtId="0" fontId="7" fillId="0" borderId="0" xfId="0" applyFont="1" applyBorder="1"/>
    <xf numFmtId="0" fontId="8" fillId="0" borderId="0" xfId="0" applyFont="1"/>
    <xf numFmtId="0" fontId="7" fillId="0" borderId="0" xfId="0" applyFont="1" applyFill="1" applyBorder="1"/>
    <xf numFmtId="0" fontId="15" fillId="0" borderId="0" xfId="0" applyFont="1" applyBorder="1"/>
    <xf numFmtId="10" fontId="4" fillId="0" borderId="0" xfId="1" applyNumberFormat="1" applyFont="1"/>
    <xf numFmtId="0" fontId="16" fillId="0" borderId="0" xfId="0" applyFont="1" applyBorder="1"/>
    <xf numFmtId="0" fontId="17" fillId="0" borderId="0" xfId="0" applyFont="1" applyBorder="1"/>
    <xf numFmtId="10" fontId="4" fillId="0" borderId="0" xfId="0" applyNumberFormat="1" applyFont="1"/>
    <xf numFmtId="0" fontId="8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4" fillId="0" borderId="0" xfId="0" applyFont="1" applyFill="1" applyBorder="1" applyAlignment="1">
      <alignment horizontal="center"/>
    </xf>
    <xf numFmtId="2" fontId="8" fillId="0" borderId="0" xfId="0" applyNumberFormat="1" applyFont="1" applyFill="1"/>
    <xf numFmtId="2" fontId="8" fillId="0" borderId="15" xfId="0" applyNumberFormat="1" applyFont="1" applyFill="1" applyBorder="1"/>
    <xf numFmtId="2" fontId="8" fillId="0" borderId="16" xfId="0" applyNumberFormat="1" applyFont="1" applyFill="1" applyBorder="1"/>
    <xf numFmtId="2" fontId="8" fillId="0" borderId="17" xfId="0" applyNumberFormat="1" applyFont="1" applyFill="1" applyBorder="1"/>
    <xf numFmtId="0" fontId="4" fillId="0" borderId="10" xfId="0" applyFont="1" applyBorder="1"/>
    <xf numFmtId="0" fontId="4" fillId="0" borderId="11" xfId="0" applyFont="1" applyBorder="1"/>
    <xf numFmtId="2" fontId="8" fillId="0" borderId="12" xfId="0" applyNumberFormat="1" applyFont="1" applyFill="1" applyBorder="1" applyAlignment="1">
      <alignment horizontal="center" vertical="center"/>
    </xf>
    <xf numFmtId="2" fontId="8" fillId="0" borderId="13" xfId="0" applyNumberFormat="1" applyFont="1" applyFill="1" applyBorder="1" applyAlignment="1">
      <alignment horizontal="center" vertical="center"/>
    </xf>
    <xf numFmtId="2" fontId="8" fillId="0" borderId="14" xfId="0" applyNumberFormat="1" applyFont="1" applyFill="1" applyBorder="1" applyAlignment="1">
      <alignment horizontal="center" vertical="center"/>
    </xf>
    <xf numFmtId="2" fontId="8" fillId="0" borderId="12" xfId="0" applyNumberFormat="1" applyFont="1" applyFill="1" applyBorder="1" applyAlignment="1">
      <alignment horizontal="center"/>
    </xf>
    <xf numFmtId="2" fontId="8" fillId="0" borderId="13" xfId="0" applyNumberFormat="1" applyFont="1" applyFill="1" applyBorder="1" applyAlignment="1">
      <alignment horizontal="center"/>
    </xf>
    <xf numFmtId="2" fontId="8" fillId="0" borderId="14" xfId="0" applyNumberFormat="1" applyFont="1" applyFill="1" applyBorder="1" applyAlignment="1">
      <alignment horizontal="center"/>
    </xf>
    <xf numFmtId="0" fontId="8" fillId="0" borderId="9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/>
    </xf>
    <xf numFmtId="0" fontId="8" fillId="0" borderId="10" xfId="0" applyFont="1" applyFill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1" xfId="0" applyFont="1" applyBorder="1" applyAlignment="1">
      <alignment horizontal="center"/>
    </xf>
  </cellXfs>
  <cellStyles count="2">
    <cellStyle name="Normale" xfId="0" builtinId="0"/>
    <cellStyle name="Percentuale" xfId="1" builtinId="5"/>
  </cellStyles>
  <dxfs count="0"/>
  <tableStyles count="0" defaultTableStyle="TableStyleMedium2" defaultPivotStyle="PivotStyleLight16"/>
  <colors>
    <mruColors>
      <color rgb="FFFF6600"/>
      <color rgb="FF0066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2"/>
  <sheetViews>
    <sheetView zoomScaleNormal="100" workbookViewId="0">
      <selection activeCell="A10" sqref="A10"/>
    </sheetView>
  </sheetViews>
  <sheetFormatPr baseColWidth="10" defaultColWidth="9.1640625" defaultRowHeight="18" x14ac:dyDescent="0.2"/>
  <cols>
    <col min="1" max="1" width="81.83203125" style="4" customWidth="1"/>
    <col min="2" max="21" width="10.33203125" style="4" customWidth="1"/>
    <col min="22" max="23" width="7.6640625" style="4" customWidth="1"/>
    <col min="24" max="24" width="7.83203125" style="4" customWidth="1"/>
    <col min="25" max="25" width="5.5" style="4" customWidth="1"/>
    <col min="26" max="26" width="6" style="4" customWidth="1"/>
    <col min="27" max="28" width="9.33203125" style="4" customWidth="1"/>
    <col min="29" max="29" width="7.6640625" style="4" customWidth="1"/>
    <col min="30" max="30" width="7.83203125" style="4" customWidth="1"/>
    <col min="31" max="31" width="7.6640625" style="4" customWidth="1"/>
    <col min="32" max="33" width="9" style="4" customWidth="1"/>
    <col min="34" max="37" width="8.5" style="4" customWidth="1"/>
    <col min="38" max="38" width="8.6640625" style="4" customWidth="1"/>
    <col min="39" max="39" width="9.1640625" style="4" customWidth="1"/>
    <col min="40" max="40" width="10" style="4" customWidth="1"/>
    <col min="41" max="16384" width="9.1640625" style="4"/>
  </cols>
  <sheetData>
    <row r="1" spans="1:21" s="73" customFormat="1" ht="19" thickBot="1" x14ac:dyDescent="0.25">
      <c r="B1" s="79" t="s">
        <v>26</v>
      </c>
      <c r="C1" s="80"/>
      <c r="D1" s="80"/>
      <c r="E1" s="80"/>
      <c r="F1" s="80"/>
      <c r="G1" s="81"/>
      <c r="H1" s="82" t="s">
        <v>27</v>
      </c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4"/>
    </row>
    <row r="2" spans="1:21" s="73" customFormat="1" x14ac:dyDescent="0.2">
      <c r="A2" s="11" t="s">
        <v>99</v>
      </c>
      <c r="B2" s="74" t="s">
        <v>1</v>
      </c>
      <c r="C2" s="75" t="s">
        <v>2</v>
      </c>
      <c r="D2" s="75" t="s">
        <v>3</v>
      </c>
      <c r="E2" s="75" t="s">
        <v>4</v>
      </c>
      <c r="F2" s="75" t="s">
        <v>5</v>
      </c>
      <c r="G2" s="76" t="s">
        <v>6</v>
      </c>
      <c r="H2" s="74" t="s">
        <v>7</v>
      </c>
      <c r="I2" s="75" t="s">
        <v>8</v>
      </c>
      <c r="J2" s="75" t="s">
        <v>9</v>
      </c>
      <c r="K2" s="75" t="s">
        <v>10</v>
      </c>
      <c r="L2" s="75" t="s">
        <v>11</v>
      </c>
      <c r="M2" s="75" t="s">
        <v>12</v>
      </c>
      <c r="N2" s="75" t="s">
        <v>13</v>
      </c>
      <c r="O2" s="75" t="s">
        <v>14</v>
      </c>
      <c r="P2" s="75" t="s">
        <v>15</v>
      </c>
      <c r="Q2" s="75" t="s">
        <v>16</v>
      </c>
      <c r="R2" s="75" t="s">
        <v>17</v>
      </c>
      <c r="S2" s="75" t="s">
        <v>18</v>
      </c>
      <c r="T2" s="75" t="s">
        <v>19</v>
      </c>
      <c r="U2" s="76" t="s">
        <v>20</v>
      </c>
    </row>
    <row r="3" spans="1:21" x14ac:dyDescent="0.2">
      <c r="A3" s="13" t="s">
        <v>33</v>
      </c>
      <c r="B3" s="5">
        <v>0</v>
      </c>
      <c r="C3" s="6">
        <v>0</v>
      </c>
      <c r="D3" s="6">
        <v>0</v>
      </c>
      <c r="E3" s="6">
        <v>0</v>
      </c>
      <c r="F3" s="6">
        <v>0</v>
      </c>
      <c r="G3" s="7">
        <v>0</v>
      </c>
      <c r="H3" s="5">
        <v>2.12</v>
      </c>
      <c r="I3" s="6">
        <v>3.88</v>
      </c>
      <c r="J3" s="6">
        <v>0</v>
      </c>
      <c r="K3" s="6">
        <v>0</v>
      </c>
      <c r="L3" s="6">
        <v>0</v>
      </c>
      <c r="M3" s="6">
        <v>0</v>
      </c>
      <c r="N3" s="6">
        <v>0.01</v>
      </c>
      <c r="O3" s="6">
        <v>0</v>
      </c>
      <c r="P3" s="6">
        <v>0</v>
      </c>
      <c r="Q3" s="6">
        <v>0</v>
      </c>
      <c r="R3" s="6">
        <v>0</v>
      </c>
      <c r="S3" s="6">
        <v>0</v>
      </c>
      <c r="T3" s="6">
        <v>0</v>
      </c>
      <c r="U3" s="7">
        <v>0</v>
      </c>
    </row>
    <row r="4" spans="1:21" x14ac:dyDescent="0.2">
      <c r="A4" s="13" t="s">
        <v>56</v>
      </c>
      <c r="B4" s="20">
        <v>0</v>
      </c>
      <c r="C4" s="18">
        <v>0.01</v>
      </c>
      <c r="D4" s="18">
        <f>3.8/2</f>
        <v>1.9</v>
      </c>
      <c r="E4" s="18">
        <v>0</v>
      </c>
      <c r="F4" s="18">
        <v>0</v>
      </c>
      <c r="G4" s="19">
        <v>0</v>
      </c>
      <c r="H4" s="20">
        <f>24.24/2</f>
        <v>12.12</v>
      </c>
      <c r="I4" s="18">
        <f>1.2/2</f>
        <v>0.6</v>
      </c>
      <c r="J4" s="18">
        <f>0.32/2</f>
        <v>0.16</v>
      </c>
      <c r="K4" s="18">
        <v>0</v>
      </c>
      <c r="L4" s="18">
        <v>0</v>
      </c>
      <c r="M4" s="18">
        <f>61.64/2</f>
        <v>30.82</v>
      </c>
      <c r="N4" s="18">
        <f>22/2</f>
        <v>11</v>
      </c>
      <c r="O4" s="18">
        <v>0</v>
      </c>
      <c r="P4" s="18">
        <f>0.6/2</f>
        <v>0.3</v>
      </c>
      <c r="Q4" s="18">
        <v>0</v>
      </c>
      <c r="R4" s="18">
        <v>0</v>
      </c>
      <c r="S4" s="18">
        <f>105.84/2</f>
        <v>52.92</v>
      </c>
      <c r="T4" s="18">
        <f>80/2</f>
        <v>40</v>
      </c>
      <c r="U4" s="19">
        <f>307.28/2</f>
        <v>153.63999999999999</v>
      </c>
    </row>
    <row r="5" spans="1:21" x14ac:dyDescent="0.2">
      <c r="A5" s="13" t="s">
        <v>34</v>
      </c>
      <c r="B5" s="5">
        <v>3.68</v>
      </c>
      <c r="C5" s="6">
        <v>6.48</v>
      </c>
      <c r="D5" s="6">
        <v>274.2</v>
      </c>
      <c r="E5" s="6">
        <v>354</v>
      </c>
      <c r="F5" s="6">
        <v>0</v>
      </c>
      <c r="G5" s="7">
        <v>0</v>
      </c>
      <c r="H5" s="5">
        <v>161.80000000000001</v>
      </c>
      <c r="I5" s="6">
        <v>374.68</v>
      </c>
      <c r="J5" s="6">
        <v>70.959999999999994</v>
      </c>
      <c r="K5" s="6">
        <v>0</v>
      </c>
      <c r="L5" s="6">
        <v>0</v>
      </c>
      <c r="M5" s="6">
        <v>168.92</v>
      </c>
      <c r="N5" s="6">
        <v>527.20000000000005</v>
      </c>
      <c r="O5" s="6">
        <v>144</v>
      </c>
      <c r="P5" s="6">
        <v>738.64</v>
      </c>
      <c r="Q5" s="6">
        <v>0</v>
      </c>
      <c r="R5" s="6">
        <v>0</v>
      </c>
      <c r="S5" s="6">
        <v>0</v>
      </c>
      <c r="T5" s="6">
        <v>1.56</v>
      </c>
      <c r="U5" s="7">
        <v>11.36</v>
      </c>
    </row>
    <row r="6" spans="1:21" x14ac:dyDescent="0.2">
      <c r="A6" s="13" t="s">
        <v>35</v>
      </c>
      <c r="B6" s="5">
        <v>0.01</v>
      </c>
      <c r="C6" s="6">
        <v>0</v>
      </c>
      <c r="D6" s="6">
        <v>0</v>
      </c>
      <c r="E6" s="6">
        <v>0.01</v>
      </c>
      <c r="F6" s="6">
        <v>0</v>
      </c>
      <c r="G6" s="7">
        <v>0.01</v>
      </c>
      <c r="H6" s="5">
        <v>0.01</v>
      </c>
      <c r="I6" s="6">
        <v>0</v>
      </c>
      <c r="J6" s="6">
        <v>0.01</v>
      </c>
      <c r="K6" s="6">
        <v>0</v>
      </c>
      <c r="L6" s="6">
        <v>0</v>
      </c>
      <c r="M6" s="6">
        <v>0.01</v>
      </c>
      <c r="N6" s="6">
        <v>0</v>
      </c>
      <c r="O6" s="6">
        <v>0.01</v>
      </c>
      <c r="P6" s="6">
        <v>0.01</v>
      </c>
      <c r="Q6" s="6">
        <v>0</v>
      </c>
      <c r="R6" s="6">
        <v>0</v>
      </c>
      <c r="S6" s="6">
        <v>0</v>
      </c>
      <c r="T6" s="6">
        <v>0</v>
      </c>
      <c r="U6" s="7">
        <v>0</v>
      </c>
    </row>
    <row r="7" spans="1:21" x14ac:dyDescent="0.2">
      <c r="A7" s="13" t="s">
        <v>36</v>
      </c>
      <c r="B7" s="5">
        <v>0.24</v>
      </c>
      <c r="C7" s="6">
        <v>0</v>
      </c>
      <c r="D7" s="6">
        <v>0.01</v>
      </c>
      <c r="E7" s="6">
        <v>0</v>
      </c>
      <c r="F7" s="6">
        <v>0.01</v>
      </c>
      <c r="G7" s="7">
        <v>0</v>
      </c>
      <c r="H7" s="5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0.01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0</v>
      </c>
      <c r="U7" s="7">
        <v>0</v>
      </c>
    </row>
    <row r="8" spans="1:21" x14ac:dyDescent="0.2">
      <c r="A8" s="13" t="s">
        <v>61</v>
      </c>
      <c r="B8" s="5">
        <v>0</v>
      </c>
      <c r="C8" s="6">
        <v>0.01</v>
      </c>
      <c r="D8" s="6">
        <v>0</v>
      </c>
      <c r="E8" s="6">
        <v>48.6</v>
      </c>
      <c r="F8" s="6">
        <v>0</v>
      </c>
      <c r="G8" s="7">
        <v>0</v>
      </c>
      <c r="H8" s="5">
        <v>0</v>
      </c>
      <c r="I8" s="6">
        <v>70.48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0.01</v>
      </c>
      <c r="Q8" s="6">
        <v>0</v>
      </c>
      <c r="R8" s="6">
        <v>0</v>
      </c>
      <c r="S8" s="6">
        <v>0</v>
      </c>
      <c r="T8" s="6">
        <v>0</v>
      </c>
      <c r="U8" s="7">
        <v>0.01</v>
      </c>
    </row>
    <row r="9" spans="1:21" x14ac:dyDescent="0.2">
      <c r="A9" s="13" t="s">
        <v>62</v>
      </c>
      <c r="B9" s="5">
        <v>0</v>
      </c>
      <c r="C9" s="6">
        <v>0.01</v>
      </c>
      <c r="D9" s="6">
        <v>0</v>
      </c>
      <c r="E9" s="6">
        <v>0.28000000000000003</v>
      </c>
      <c r="F9" s="6">
        <v>0</v>
      </c>
      <c r="G9" s="7">
        <v>0</v>
      </c>
      <c r="H9" s="5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7">
        <v>0</v>
      </c>
    </row>
    <row r="10" spans="1:21" x14ac:dyDescent="0.2">
      <c r="A10" s="4" t="s">
        <v>82</v>
      </c>
      <c r="B10" s="5">
        <v>0</v>
      </c>
      <c r="C10" s="6">
        <v>0</v>
      </c>
      <c r="D10" s="6">
        <v>0</v>
      </c>
      <c r="E10" s="6">
        <v>0</v>
      </c>
      <c r="F10" s="6">
        <v>0.01</v>
      </c>
      <c r="G10" s="7">
        <v>0.01</v>
      </c>
      <c r="H10" s="5">
        <v>0.01</v>
      </c>
      <c r="I10" s="6">
        <v>0</v>
      </c>
      <c r="J10" s="6">
        <v>0</v>
      </c>
      <c r="K10" s="6">
        <v>0</v>
      </c>
      <c r="L10" s="6">
        <v>0</v>
      </c>
      <c r="M10" s="6">
        <v>0.01</v>
      </c>
      <c r="N10" s="6">
        <v>0.01</v>
      </c>
      <c r="O10" s="6">
        <v>0</v>
      </c>
      <c r="P10" s="6">
        <v>0</v>
      </c>
      <c r="Q10" s="6">
        <v>0</v>
      </c>
      <c r="R10" s="6">
        <v>0</v>
      </c>
      <c r="S10" s="6">
        <v>0.01</v>
      </c>
      <c r="T10" s="6">
        <v>0.01</v>
      </c>
      <c r="U10" s="7">
        <v>0.01</v>
      </c>
    </row>
    <row r="11" spans="1:21" x14ac:dyDescent="0.2">
      <c r="A11" s="4" t="s">
        <v>83</v>
      </c>
      <c r="B11" s="5">
        <v>0</v>
      </c>
      <c r="C11" s="6">
        <v>0</v>
      </c>
      <c r="D11" s="6">
        <v>0</v>
      </c>
      <c r="E11" s="6">
        <v>0</v>
      </c>
      <c r="F11" s="6">
        <v>0</v>
      </c>
      <c r="G11" s="7">
        <v>0</v>
      </c>
      <c r="H11" s="5">
        <v>0</v>
      </c>
      <c r="I11" s="6">
        <v>0</v>
      </c>
      <c r="J11" s="6">
        <v>0</v>
      </c>
      <c r="K11" s="6">
        <v>0</v>
      </c>
      <c r="L11" s="6">
        <v>0</v>
      </c>
      <c r="M11" s="6">
        <v>0.01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7">
        <v>0</v>
      </c>
    </row>
    <row r="12" spans="1:21" x14ac:dyDescent="0.2">
      <c r="A12" s="13" t="s">
        <v>65</v>
      </c>
      <c r="B12" s="5">
        <v>690</v>
      </c>
      <c r="C12" s="6">
        <v>745.52</v>
      </c>
      <c r="D12" s="6">
        <v>334.68</v>
      </c>
      <c r="E12" s="6">
        <v>309.52</v>
      </c>
      <c r="F12" s="6">
        <v>56.52</v>
      </c>
      <c r="G12" s="7">
        <v>0</v>
      </c>
      <c r="H12" s="5">
        <v>111.88</v>
      </c>
      <c r="I12" s="6">
        <v>30.92</v>
      </c>
      <c r="J12" s="6">
        <v>157.80000000000001</v>
      </c>
      <c r="K12" s="6">
        <v>0</v>
      </c>
      <c r="L12" s="6">
        <v>0</v>
      </c>
      <c r="M12" s="6">
        <v>34.32</v>
      </c>
      <c r="N12" s="6">
        <v>49.6</v>
      </c>
      <c r="O12" s="6">
        <v>192.16</v>
      </c>
      <c r="P12" s="6">
        <v>1.24</v>
      </c>
      <c r="Q12" s="6">
        <v>0</v>
      </c>
      <c r="R12" s="6">
        <v>0</v>
      </c>
      <c r="S12" s="6">
        <v>24.8</v>
      </c>
      <c r="T12" s="6">
        <v>68.8</v>
      </c>
      <c r="U12" s="7">
        <v>85.12</v>
      </c>
    </row>
    <row r="13" spans="1:21" x14ac:dyDescent="0.2">
      <c r="A13" s="13" t="s">
        <v>66</v>
      </c>
      <c r="B13" s="5">
        <v>0</v>
      </c>
      <c r="C13" s="6">
        <v>36.04</v>
      </c>
      <c r="D13" s="6">
        <v>0</v>
      </c>
      <c r="E13" s="6">
        <v>109.48</v>
      </c>
      <c r="F13" s="6">
        <v>0</v>
      </c>
      <c r="G13" s="7">
        <v>0</v>
      </c>
      <c r="H13" s="5">
        <v>12.24</v>
      </c>
      <c r="I13" s="6">
        <v>34.28</v>
      </c>
      <c r="J13" s="6">
        <v>4.12</v>
      </c>
      <c r="K13" s="6">
        <v>0</v>
      </c>
      <c r="L13" s="6">
        <v>0</v>
      </c>
      <c r="M13" s="6">
        <v>21.48</v>
      </c>
      <c r="N13" s="6">
        <v>0</v>
      </c>
      <c r="O13" s="6">
        <v>0</v>
      </c>
      <c r="P13" s="6">
        <v>0.32</v>
      </c>
      <c r="Q13" s="6">
        <v>0</v>
      </c>
      <c r="R13" s="6">
        <v>0</v>
      </c>
      <c r="S13" s="6">
        <v>0</v>
      </c>
      <c r="T13" s="6">
        <v>2.3199999999999998</v>
      </c>
      <c r="U13" s="7">
        <v>3.08</v>
      </c>
    </row>
    <row r="14" spans="1:21" x14ac:dyDescent="0.2">
      <c r="A14" s="13" t="s">
        <v>63</v>
      </c>
      <c r="B14" s="20">
        <v>0</v>
      </c>
      <c r="C14" s="18">
        <f>19.08/2</f>
        <v>9.5399999999999991</v>
      </c>
      <c r="D14" s="18">
        <f>13.64/2</f>
        <v>6.82</v>
      </c>
      <c r="E14" s="18">
        <f>1.32/2</f>
        <v>0.66</v>
      </c>
      <c r="F14" s="18">
        <f>56.56/2</f>
        <v>28.28</v>
      </c>
      <c r="G14" s="19">
        <f>415.72/2</f>
        <v>207.86</v>
      </c>
      <c r="H14" s="20">
        <f>19.68/2</f>
        <v>9.84</v>
      </c>
      <c r="I14" s="18">
        <f>30.72/2</f>
        <v>15.36</v>
      </c>
      <c r="J14" s="18">
        <f>2.2/2</f>
        <v>1.1000000000000001</v>
      </c>
      <c r="K14" s="18">
        <v>0</v>
      </c>
      <c r="L14" s="18">
        <v>0</v>
      </c>
      <c r="M14" s="18">
        <f>13.08/2</f>
        <v>6.54</v>
      </c>
      <c r="N14" s="18">
        <v>0</v>
      </c>
      <c r="O14" s="18">
        <f>39.16/2</f>
        <v>19.579999999999998</v>
      </c>
      <c r="P14" s="18">
        <f>16.88/2</f>
        <v>8.44</v>
      </c>
      <c r="Q14" s="18">
        <v>0</v>
      </c>
      <c r="R14" s="18">
        <v>0</v>
      </c>
      <c r="S14" s="18">
        <f>272.32/2</f>
        <v>136.16</v>
      </c>
      <c r="T14" s="18">
        <f>237.24/2</f>
        <v>118.62</v>
      </c>
      <c r="U14" s="19">
        <f>273.52/2</f>
        <v>136.76</v>
      </c>
    </row>
    <row r="15" spans="1:21" x14ac:dyDescent="0.2">
      <c r="A15" s="13" t="s">
        <v>64</v>
      </c>
      <c r="B15" s="20">
        <v>0</v>
      </c>
      <c r="C15" s="18">
        <f>19.08/2</f>
        <v>9.5399999999999991</v>
      </c>
      <c r="D15" s="18">
        <f>13.64/2</f>
        <v>6.82</v>
      </c>
      <c r="E15" s="18">
        <f>1.32/2</f>
        <v>0.66</v>
      </c>
      <c r="F15" s="18">
        <f>56.56/2</f>
        <v>28.28</v>
      </c>
      <c r="G15" s="19">
        <f>415.72/2</f>
        <v>207.86</v>
      </c>
      <c r="H15" s="20">
        <f>19.68/2</f>
        <v>9.84</v>
      </c>
      <c r="I15" s="18">
        <f>30.72/2</f>
        <v>15.36</v>
      </c>
      <c r="J15" s="18">
        <f>2.2/2</f>
        <v>1.1000000000000001</v>
      </c>
      <c r="K15" s="18">
        <v>0</v>
      </c>
      <c r="L15" s="18">
        <v>0</v>
      </c>
      <c r="M15" s="18">
        <f>13.08/2</f>
        <v>6.54</v>
      </c>
      <c r="N15" s="18">
        <v>0</v>
      </c>
      <c r="O15" s="18">
        <f>39.16/2</f>
        <v>19.579999999999998</v>
      </c>
      <c r="P15" s="18">
        <f>16.88/2</f>
        <v>8.44</v>
      </c>
      <c r="Q15" s="18">
        <v>0</v>
      </c>
      <c r="R15" s="18">
        <v>0</v>
      </c>
      <c r="S15" s="18">
        <f>272.32/2</f>
        <v>136.16</v>
      </c>
      <c r="T15" s="18">
        <f>237.24/2</f>
        <v>118.62</v>
      </c>
      <c r="U15" s="19">
        <f>273.52/2</f>
        <v>136.76</v>
      </c>
    </row>
    <row r="16" spans="1:21" x14ac:dyDescent="0.2">
      <c r="A16" s="13" t="s">
        <v>67</v>
      </c>
      <c r="B16" s="5">
        <v>0</v>
      </c>
      <c r="C16" s="6">
        <v>0</v>
      </c>
      <c r="D16" s="6">
        <v>0</v>
      </c>
      <c r="E16" s="6">
        <v>0</v>
      </c>
      <c r="F16" s="6">
        <v>0.01</v>
      </c>
      <c r="G16" s="7">
        <v>0</v>
      </c>
      <c r="H16" s="5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  <c r="U16" s="7">
        <v>0.28000000000000003</v>
      </c>
    </row>
    <row r="17" spans="1:21" x14ac:dyDescent="0.2">
      <c r="A17" s="13" t="s">
        <v>68</v>
      </c>
      <c r="B17" s="5">
        <v>0</v>
      </c>
      <c r="C17" s="6">
        <v>0</v>
      </c>
      <c r="D17" s="6">
        <v>0</v>
      </c>
      <c r="E17" s="6">
        <v>0</v>
      </c>
      <c r="F17" s="6">
        <v>0</v>
      </c>
      <c r="G17" s="7">
        <v>0.01</v>
      </c>
      <c r="H17" s="5">
        <v>0</v>
      </c>
      <c r="I17" s="6">
        <v>0.01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  <c r="S17" s="6">
        <v>0</v>
      </c>
      <c r="T17" s="6">
        <v>0</v>
      </c>
      <c r="U17" s="7">
        <v>0</v>
      </c>
    </row>
    <row r="18" spans="1:21" x14ac:dyDescent="0.2">
      <c r="A18" s="4" t="s">
        <v>84</v>
      </c>
      <c r="B18" s="5">
        <v>0</v>
      </c>
      <c r="C18" s="6">
        <v>0</v>
      </c>
      <c r="D18" s="6">
        <v>0.01</v>
      </c>
      <c r="E18" s="6">
        <v>0</v>
      </c>
      <c r="F18" s="6">
        <v>0</v>
      </c>
      <c r="G18" s="7">
        <v>0.01</v>
      </c>
      <c r="H18" s="5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  <c r="S18" s="6">
        <v>0</v>
      </c>
      <c r="T18" s="6">
        <v>0</v>
      </c>
      <c r="U18" s="7">
        <v>0</v>
      </c>
    </row>
    <row r="19" spans="1:21" x14ac:dyDescent="0.2">
      <c r="A19" s="13" t="s">
        <v>69</v>
      </c>
      <c r="B19" s="5">
        <v>0</v>
      </c>
      <c r="C19" s="6">
        <v>0</v>
      </c>
      <c r="D19" s="6">
        <v>0</v>
      </c>
      <c r="E19" s="6">
        <v>0</v>
      </c>
      <c r="F19" s="6">
        <v>0.28000000000000003</v>
      </c>
      <c r="G19" s="7">
        <v>0</v>
      </c>
      <c r="H19" s="5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  <c r="U19" s="7">
        <v>0</v>
      </c>
    </row>
    <row r="20" spans="1:21" x14ac:dyDescent="0.2">
      <c r="A20" s="16" t="s">
        <v>85</v>
      </c>
      <c r="B20" s="5">
        <v>0</v>
      </c>
      <c r="C20" s="6">
        <v>0</v>
      </c>
      <c r="D20" s="6">
        <v>0</v>
      </c>
      <c r="E20" s="6">
        <v>0</v>
      </c>
      <c r="F20" s="6">
        <v>0.01</v>
      </c>
      <c r="G20" s="7">
        <v>0</v>
      </c>
      <c r="H20" s="5">
        <v>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v>0</v>
      </c>
      <c r="P20" s="6">
        <v>0</v>
      </c>
      <c r="Q20" s="6">
        <v>0</v>
      </c>
      <c r="R20" s="6">
        <v>0</v>
      </c>
      <c r="S20" s="6">
        <v>0</v>
      </c>
      <c r="T20" s="6">
        <v>0</v>
      </c>
      <c r="U20" s="7">
        <v>0</v>
      </c>
    </row>
    <row r="21" spans="1:21" x14ac:dyDescent="0.2">
      <c r="A21" s="13" t="s">
        <v>70</v>
      </c>
      <c r="B21" s="5">
        <v>0.52</v>
      </c>
      <c r="C21" s="6">
        <v>0</v>
      </c>
      <c r="D21" s="6">
        <v>0</v>
      </c>
      <c r="E21" s="6">
        <v>0</v>
      </c>
      <c r="F21" s="6">
        <v>3.24</v>
      </c>
      <c r="G21" s="7">
        <v>0</v>
      </c>
      <c r="H21" s="5">
        <v>0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v>0</v>
      </c>
      <c r="P21" s="6">
        <v>0</v>
      </c>
      <c r="Q21" s="6">
        <v>0</v>
      </c>
      <c r="R21" s="6">
        <v>0</v>
      </c>
      <c r="S21" s="6">
        <v>0</v>
      </c>
      <c r="T21" s="6">
        <v>0</v>
      </c>
      <c r="U21" s="7">
        <v>0</v>
      </c>
    </row>
    <row r="22" spans="1:21" x14ac:dyDescent="0.2">
      <c r="A22" s="13" t="s">
        <v>71</v>
      </c>
      <c r="B22" s="5">
        <v>0</v>
      </c>
      <c r="C22" s="6">
        <v>0</v>
      </c>
      <c r="D22" s="6">
        <v>0.6</v>
      </c>
      <c r="E22" s="6">
        <v>0</v>
      </c>
      <c r="F22" s="6">
        <v>0</v>
      </c>
      <c r="G22" s="7">
        <v>3.72</v>
      </c>
      <c r="H22" s="5">
        <v>0</v>
      </c>
      <c r="I22" s="6">
        <v>0.01</v>
      </c>
      <c r="J22" s="6">
        <v>0</v>
      </c>
      <c r="K22" s="6">
        <v>0</v>
      </c>
      <c r="L22" s="6">
        <v>0</v>
      </c>
      <c r="M22" s="6">
        <v>3.36</v>
      </c>
      <c r="N22" s="6">
        <v>0.64</v>
      </c>
      <c r="O22" s="6">
        <v>0</v>
      </c>
      <c r="P22" s="6">
        <v>0</v>
      </c>
      <c r="Q22" s="6">
        <v>0</v>
      </c>
      <c r="R22" s="6">
        <v>0</v>
      </c>
      <c r="S22" s="6">
        <v>0</v>
      </c>
      <c r="T22" s="6">
        <v>0</v>
      </c>
      <c r="U22" s="7">
        <v>0</v>
      </c>
    </row>
    <row r="23" spans="1:21" x14ac:dyDescent="0.2">
      <c r="A23" s="13" t="s">
        <v>72</v>
      </c>
      <c r="B23" s="5">
        <v>0</v>
      </c>
      <c r="C23" s="6">
        <v>2.4</v>
      </c>
      <c r="D23" s="6">
        <v>0.72</v>
      </c>
      <c r="E23" s="6">
        <v>6.84</v>
      </c>
      <c r="F23" s="6">
        <v>0</v>
      </c>
      <c r="G23" s="7">
        <v>0</v>
      </c>
      <c r="H23" s="5">
        <v>0</v>
      </c>
      <c r="I23" s="6">
        <v>0</v>
      </c>
      <c r="J23" s="6">
        <v>0</v>
      </c>
      <c r="K23" s="6">
        <v>0</v>
      </c>
      <c r="L23" s="6">
        <v>0</v>
      </c>
      <c r="M23" s="6">
        <v>8.08</v>
      </c>
      <c r="N23" s="6">
        <v>0</v>
      </c>
      <c r="O23" s="6">
        <v>0</v>
      </c>
      <c r="P23" s="6">
        <v>0</v>
      </c>
      <c r="Q23" s="6">
        <v>0</v>
      </c>
      <c r="R23" s="6">
        <v>0</v>
      </c>
      <c r="S23" s="6">
        <v>0</v>
      </c>
      <c r="T23" s="6">
        <v>0.01</v>
      </c>
      <c r="U23" s="7">
        <v>0</v>
      </c>
    </row>
    <row r="24" spans="1:21" x14ac:dyDescent="0.2">
      <c r="A24" s="13" t="s">
        <v>55</v>
      </c>
      <c r="B24" s="20">
        <v>0</v>
      </c>
      <c r="C24" s="18">
        <v>0.01</v>
      </c>
      <c r="D24" s="18">
        <f>3.8/2</f>
        <v>1.9</v>
      </c>
      <c r="E24" s="18">
        <v>0</v>
      </c>
      <c r="F24" s="18">
        <v>0</v>
      </c>
      <c r="G24" s="19">
        <v>0</v>
      </c>
      <c r="H24" s="20">
        <f>24.24/2</f>
        <v>12.12</v>
      </c>
      <c r="I24" s="18">
        <f>1.2/2</f>
        <v>0.6</v>
      </c>
      <c r="J24" s="18">
        <f>0.32/2</f>
        <v>0.16</v>
      </c>
      <c r="K24" s="18">
        <v>0</v>
      </c>
      <c r="L24" s="18">
        <v>0</v>
      </c>
      <c r="M24" s="18">
        <f>61.64/2</f>
        <v>30.82</v>
      </c>
      <c r="N24" s="18">
        <f>22/2</f>
        <v>11</v>
      </c>
      <c r="O24" s="18">
        <v>0</v>
      </c>
      <c r="P24" s="18">
        <f>0.6/2</f>
        <v>0.3</v>
      </c>
      <c r="Q24" s="18">
        <v>0</v>
      </c>
      <c r="R24" s="18">
        <v>0</v>
      </c>
      <c r="S24" s="18">
        <f>105.84/2</f>
        <v>52.92</v>
      </c>
      <c r="T24" s="18">
        <f>80/2</f>
        <v>40</v>
      </c>
      <c r="U24" s="19">
        <f>307.28/2</f>
        <v>153.63999999999999</v>
      </c>
    </row>
    <row r="25" spans="1:21" x14ac:dyDescent="0.2">
      <c r="A25" s="13" t="s">
        <v>73</v>
      </c>
      <c r="B25" s="5">
        <v>0</v>
      </c>
      <c r="C25" s="6">
        <v>1.84</v>
      </c>
      <c r="D25" s="6">
        <v>0</v>
      </c>
      <c r="E25" s="6">
        <v>19.239999999999998</v>
      </c>
      <c r="F25" s="6">
        <v>326.8</v>
      </c>
      <c r="G25" s="7">
        <v>0</v>
      </c>
      <c r="H25" s="5">
        <v>38.4</v>
      </c>
      <c r="I25" s="6">
        <v>1.6</v>
      </c>
      <c r="J25" s="6">
        <v>224.2</v>
      </c>
      <c r="K25" s="6">
        <v>0</v>
      </c>
      <c r="L25" s="6">
        <v>0</v>
      </c>
      <c r="M25" s="6">
        <v>93.52</v>
      </c>
      <c r="N25" s="6">
        <v>148.80000000000001</v>
      </c>
      <c r="O25" s="6">
        <v>126.52</v>
      </c>
      <c r="P25" s="6">
        <v>16.600000000000001</v>
      </c>
      <c r="Q25" s="6">
        <v>0</v>
      </c>
      <c r="R25" s="6">
        <v>0</v>
      </c>
      <c r="S25" s="6">
        <v>23.44</v>
      </c>
      <c r="T25" s="6">
        <v>25.84</v>
      </c>
      <c r="U25" s="7">
        <v>58.08</v>
      </c>
    </row>
    <row r="26" spans="1:21" x14ac:dyDescent="0.2">
      <c r="A26" s="13" t="s">
        <v>74</v>
      </c>
      <c r="B26" s="5">
        <v>0</v>
      </c>
      <c r="C26" s="6">
        <v>0</v>
      </c>
      <c r="D26" s="6">
        <v>0</v>
      </c>
      <c r="E26" s="6">
        <v>0</v>
      </c>
      <c r="F26" s="6">
        <v>0</v>
      </c>
      <c r="G26" s="7">
        <v>0</v>
      </c>
      <c r="H26" s="5">
        <v>0.01</v>
      </c>
      <c r="I26" s="6">
        <v>0</v>
      </c>
      <c r="J26" s="6">
        <v>0</v>
      </c>
      <c r="K26" s="6">
        <v>0</v>
      </c>
      <c r="L26" s="6">
        <v>0</v>
      </c>
      <c r="M26" s="6">
        <v>0</v>
      </c>
      <c r="N26" s="6">
        <v>0</v>
      </c>
      <c r="O26" s="6">
        <v>0</v>
      </c>
      <c r="P26" s="6">
        <v>0</v>
      </c>
      <c r="Q26" s="6">
        <v>0</v>
      </c>
      <c r="R26" s="6">
        <v>0</v>
      </c>
      <c r="S26" s="6">
        <v>0</v>
      </c>
      <c r="T26" s="6">
        <v>0</v>
      </c>
      <c r="U26" s="7">
        <v>0</v>
      </c>
    </row>
    <row r="27" spans="1:21" x14ac:dyDescent="0.2">
      <c r="A27" s="4" t="s">
        <v>80</v>
      </c>
      <c r="B27" s="5">
        <v>0</v>
      </c>
      <c r="C27" s="6">
        <v>0</v>
      </c>
      <c r="D27" s="6">
        <v>0.96</v>
      </c>
      <c r="E27" s="6">
        <v>0</v>
      </c>
      <c r="F27" s="6">
        <v>0</v>
      </c>
      <c r="G27" s="7">
        <v>0</v>
      </c>
      <c r="H27" s="5">
        <v>50.56</v>
      </c>
      <c r="I27" s="6">
        <v>0</v>
      </c>
      <c r="J27" s="6">
        <v>0</v>
      </c>
      <c r="K27" s="6">
        <v>0</v>
      </c>
      <c r="L27" s="6">
        <v>0</v>
      </c>
      <c r="M27" s="6">
        <v>0.4</v>
      </c>
      <c r="N27" s="6">
        <v>0</v>
      </c>
      <c r="O27" s="6">
        <v>2.92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7">
        <v>10.6</v>
      </c>
    </row>
    <row r="28" spans="1:21" x14ac:dyDescent="0.2">
      <c r="A28" s="13" t="s">
        <v>75</v>
      </c>
      <c r="B28" s="5">
        <v>0</v>
      </c>
      <c r="C28" s="6">
        <v>0</v>
      </c>
      <c r="D28" s="6">
        <v>0</v>
      </c>
      <c r="E28" s="6">
        <v>0</v>
      </c>
      <c r="F28" s="6">
        <v>0</v>
      </c>
      <c r="G28" s="7">
        <v>0</v>
      </c>
      <c r="H28" s="5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0.01</v>
      </c>
      <c r="O28" s="6">
        <v>0</v>
      </c>
      <c r="P28" s="6">
        <v>0</v>
      </c>
      <c r="Q28" s="6">
        <v>0</v>
      </c>
      <c r="R28" s="6">
        <v>0</v>
      </c>
      <c r="S28" s="6">
        <v>0</v>
      </c>
      <c r="T28" s="6">
        <v>0</v>
      </c>
      <c r="U28" s="7">
        <v>0</v>
      </c>
    </row>
    <row r="29" spans="1:21" x14ac:dyDescent="0.2">
      <c r="A29" s="13" t="s">
        <v>76</v>
      </c>
      <c r="B29" s="5">
        <v>0</v>
      </c>
      <c r="C29" s="6">
        <v>0</v>
      </c>
      <c r="D29" s="6">
        <v>0.01</v>
      </c>
      <c r="E29" s="6">
        <v>0</v>
      </c>
      <c r="F29" s="6">
        <v>161.76</v>
      </c>
      <c r="G29" s="7">
        <v>0</v>
      </c>
      <c r="H29" s="5">
        <v>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7">
        <v>0</v>
      </c>
    </row>
    <row r="30" spans="1:21" x14ac:dyDescent="0.2">
      <c r="A30" s="15" t="s">
        <v>77</v>
      </c>
      <c r="B30" s="5">
        <v>0</v>
      </c>
      <c r="C30" s="6">
        <v>0</v>
      </c>
      <c r="D30" s="6">
        <v>0</v>
      </c>
      <c r="E30" s="6">
        <v>0</v>
      </c>
      <c r="F30" s="6">
        <v>0</v>
      </c>
      <c r="G30" s="7">
        <v>0</v>
      </c>
      <c r="H30" s="5">
        <v>0</v>
      </c>
      <c r="I30" s="6">
        <v>0</v>
      </c>
      <c r="J30" s="6">
        <v>0.01</v>
      </c>
      <c r="K30" s="6">
        <v>0</v>
      </c>
      <c r="L30" s="6">
        <v>0</v>
      </c>
      <c r="M30" s="6">
        <v>0</v>
      </c>
      <c r="N30" s="6">
        <v>0</v>
      </c>
      <c r="O30" s="6">
        <v>0.01</v>
      </c>
      <c r="P30" s="6">
        <v>0</v>
      </c>
      <c r="Q30" s="6">
        <v>0</v>
      </c>
      <c r="R30" s="6">
        <v>0</v>
      </c>
      <c r="S30" s="6">
        <v>0</v>
      </c>
      <c r="T30" s="6">
        <v>0</v>
      </c>
      <c r="U30" s="7">
        <v>0</v>
      </c>
    </row>
    <row r="31" spans="1:21" x14ac:dyDescent="0.2">
      <c r="A31" s="13" t="s">
        <v>78</v>
      </c>
      <c r="B31" s="5">
        <v>0</v>
      </c>
      <c r="C31" s="6">
        <v>0</v>
      </c>
      <c r="D31" s="6">
        <v>0</v>
      </c>
      <c r="E31" s="6">
        <v>0</v>
      </c>
      <c r="F31" s="6">
        <v>0</v>
      </c>
      <c r="G31" s="7">
        <v>0</v>
      </c>
      <c r="H31" s="5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11.92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7">
        <v>0</v>
      </c>
    </row>
    <row r="32" spans="1:21" ht="19" thickBot="1" x14ac:dyDescent="0.25">
      <c r="A32" s="13" t="s">
        <v>79</v>
      </c>
      <c r="B32" s="8">
        <v>44.2</v>
      </c>
      <c r="C32" s="9">
        <v>0</v>
      </c>
      <c r="D32" s="9">
        <v>0</v>
      </c>
      <c r="E32" s="9">
        <v>0</v>
      </c>
      <c r="F32" s="9">
        <v>0</v>
      </c>
      <c r="G32" s="10">
        <v>0</v>
      </c>
      <c r="H32" s="8">
        <v>0</v>
      </c>
      <c r="I32" s="9">
        <v>136.16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10">
        <v>0</v>
      </c>
    </row>
  </sheetData>
  <sortState xmlns:xlrd2="http://schemas.microsoft.com/office/spreadsheetml/2017/richdata2" ref="A3:U32">
    <sortCondition ref="A3:A32"/>
  </sortState>
  <mergeCells count="2">
    <mergeCell ref="B1:G1"/>
    <mergeCell ref="H1:U1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6"/>
  <sheetViews>
    <sheetView zoomScaleNormal="100" workbookViewId="0"/>
  </sheetViews>
  <sheetFormatPr baseColWidth="10" defaultColWidth="9.1640625" defaultRowHeight="18" x14ac:dyDescent="0.2"/>
  <cols>
    <col min="1" max="1" width="78.6640625" style="21" customWidth="1"/>
    <col min="2" max="21" width="10.33203125" style="21" customWidth="1"/>
    <col min="22" max="22" width="8.1640625" style="21" customWidth="1"/>
    <col min="23" max="24" width="6.5" style="21" customWidth="1"/>
    <col min="25" max="26" width="7.83203125" style="21" customWidth="1"/>
    <col min="27" max="27" width="8.6640625" style="21" customWidth="1"/>
    <col min="28" max="28" width="8.33203125" style="21" customWidth="1"/>
    <col min="29" max="30" width="9.1640625" style="21" customWidth="1"/>
    <col min="31" max="31" width="8.5" style="21" customWidth="1"/>
    <col min="32" max="33" width="9.1640625" style="21" customWidth="1"/>
    <col min="34" max="16384" width="9.1640625" style="21"/>
  </cols>
  <sheetData>
    <row r="1" spans="1:21" x14ac:dyDescent="0.2">
      <c r="B1" s="85" t="s">
        <v>26</v>
      </c>
      <c r="C1" s="86"/>
      <c r="D1" s="86"/>
      <c r="E1" s="86"/>
      <c r="F1" s="86"/>
      <c r="G1" s="87"/>
      <c r="H1" s="85" t="s">
        <v>27</v>
      </c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7"/>
    </row>
    <row r="2" spans="1:21" s="22" customFormat="1" x14ac:dyDescent="0.2">
      <c r="A2" s="11" t="s">
        <v>99</v>
      </c>
      <c r="B2" s="32" t="s">
        <v>1</v>
      </c>
      <c r="C2" s="33" t="s">
        <v>2</v>
      </c>
      <c r="D2" s="33" t="s">
        <v>3</v>
      </c>
      <c r="E2" s="33" t="s">
        <v>4</v>
      </c>
      <c r="F2" s="33" t="s">
        <v>5</v>
      </c>
      <c r="G2" s="34" t="s">
        <v>6</v>
      </c>
      <c r="H2" s="32" t="s">
        <v>7</v>
      </c>
      <c r="I2" s="33" t="s">
        <v>8</v>
      </c>
      <c r="J2" s="33" t="s">
        <v>9</v>
      </c>
      <c r="K2" s="33" t="s">
        <v>10</v>
      </c>
      <c r="L2" s="33" t="s">
        <v>11</v>
      </c>
      <c r="M2" s="33" t="s">
        <v>12</v>
      </c>
      <c r="N2" s="33" t="s">
        <v>13</v>
      </c>
      <c r="O2" s="33" t="s">
        <v>14</v>
      </c>
      <c r="P2" s="33" t="s">
        <v>15</v>
      </c>
      <c r="Q2" s="33" t="s">
        <v>16</v>
      </c>
      <c r="R2" s="33" t="s">
        <v>17</v>
      </c>
      <c r="S2" s="33" t="s">
        <v>18</v>
      </c>
      <c r="T2" s="33" t="s">
        <v>19</v>
      </c>
      <c r="U2" s="34" t="s">
        <v>20</v>
      </c>
    </row>
    <row r="3" spans="1:21" s="22" customFormat="1" x14ac:dyDescent="0.2">
      <c r="A3" s="13" t="s">
        <v>33</v>
      </c>
      <c r="B3" s="25">
        <v>0.64</v>
      </c>
      <c r="C3" s="6">
        <v>0</v>
      </c>
      <c r="D3" s="6">
        <v>0</v>
      </c>
      <c r="E3" s="6">
        <v>0</v>
      </c>
      <c r="F3" s="6">
        <v>0.12</v>
      </c>
      <c r="G3" s="26">
        <v>0</v>
      </c>
      <c r="H3" s="25">
        <v>3.4</v>
      </c>
      <c r="I3" s="6">
        <v>0</v>
      </c>
      <c r="J3" s="6">
        <v>0</v>
      </c>
      <c r="K3" s="6">
        <v>0</v>
      </c>
      <c r="L3" s="6">
        <v>0</v>
      </c>
      <c r="M3" s="6">
        <v>0</v>
      </c>
      <c r="N3" s="6">
        <v>0</v>
      </c>
      <c r="O3" s="6">
        <v>0</v>
      </c>
      <c r="P3" s="6">
        <v>0</v>
      </c>
      <c r="Q3" s="6">
        <v>0</v>
      </c>
      <c r="R3" s="6">
        <v>0</v>
      </c>
      <c r="S3" s="6">
        <v>0</v>
      </c>
      <c r="T3" s="6">
        <v>0</v>
      </c>
      <c r="U3" s="26">
        <v>0</v>
      </c>
    </row>
    <row r="4" spans="1:21" s="22" customFormat="1" x14ac:dyDescent="0.2">
      <c r="A4" s="13" t="s">
        <v>56</v>
      </c>
      <c r="B4" s="27">
        <f>143.24/2</f>
        <v>71.62</v>
      </c>
      <c r="C4" s="18">
        <f>71.64/2</f>
        <v>35.82</v>
      </c>
      <c r="D4" s="18">
        <f>30.84/2</f>
        <v>15.42</v>
      </c>
      <c r="E4" s="18">
        <v>0</v>
      </c>
      <c r="F4" s="18">
        <v>0</v>
      </c>
      <c r="G4" s="28">
        <f>23.8/2</f>
        <v>11.9</v>
      </c>
      <c r="H4" s="27">
        <v>0</v>
      </c>
      <c r="I4" s="18">
        <f>161.8/2</f>
        <v>80.900000000000006</v>
      </c>
      <c r="J4" s="18">
        <f>144.2/2</f>
        <v>72.099999999999994</v>
      </c>
      <c r="K4" s="18">
        <f>0.8/2</f>
        <v>0.4</v>
      </c>
      <c r="L4" s="18">
        <f>45/2</f>
        <v>22.5</v>
      </c>
      <c r="M4" s="18">
        <f>10.2/2</f>
        <v>5.0999999999999996</v>
      </c>
      <c r="N4" s="18">
        <f>266/2</f>
        <v>133</v>
      </c>
      <c r="O4" s="18">
        <f>262.2/2</f>
        <v>131.1</v>
      </c>
      <c r="P4" s="18">
        <f>35.6/2</f>
        <v>17.8</v>
      </c>
      <c r="Q4" s="18">
        <f>531.6/2</f>
        <v>265.8</v>
      </c>
      <c r="R4" s="18">
        <f>344.52/2</f>
        <v>172.26</v>
      </c>
      <c r="S4" s="18">
        <v>0</v>
      </c>
      <c r="T4" s="18">
        <f>336.24/2</f>
        <v>168.12</v>
      </c>
      <c r="U4" s="28">
        <f>109.64/2</f>
        <v>54.82</v>
      </c>
    </row>
    <row r="5" spans="1:21" s="22" customFormat="1" x14ac:dyDescent="0.2">
      <c r="A5" s="13" t="s">
        <v>34</v>
      </c>
      <c r="B5" s="25">
        <v>25.8</v>
      </c>
      <c r="C5" s="6">
        <v>0</v>
      </c>
      <c r="D5" s="6">
        <v>0</v>
      </c>
      <c r="E5" s="6">
        <v>0</v>
      </c>
      <c r="F5" s="6">
        <v>352.32</v>
      </c>
      <c r="G5" s="26">
        <v>94.52</v>
      </c>
      <c r="H5" s="25">
        <v>49.12</v>
      </c>
      <c r="I5" s="6">
        <v>11</v>
      </c>
      <c r="J5" s="6">
        <v>133.4</v>
      </c>
      <c r="K5" s="6">
        <v>2.88</v>
      </c>
      <c r="L5" s="6">
        <v>78.599999999999994</v>
      </c>
      <c r="M5" s="6">
        <v>0.8</v>
      </c>
      <c r="N5" s="6">
        <v>0.92</v>
      </c>
      <c r="O5" s="6">
        <v>0</v>
      </c>
      <c r="P5" s="6">
        <v>0</v>
      </c>
      <c r="Q5" s="6">
        <v>0</v>
      </c>
      <c r="R5" s="6">
        <v>0</v>
      </c>
      <c r="S5" s="6">
        <v>0.12</v>
      </c>
      <c r="T5" s="6">
        <v>0</v>
      </c>
      <c r="U5" s="26">
        <v>0</v>
      </c>
    </row>
    <row r="6" spans="1:21" x14ac:dyDescent="0.2">
      <c r="A6" s="21" t="s">
        <v>86</v>
      </c>
      <c r="B6" s="25">
        <v>0</v>
      </c>
      <c r="C6" s="6">
        <v>0</v>
      </c>
      <c r="D6" s="6">
        <v>0</v>
      </c>
      <c r="E6" s="6">
        <v>0</v>
      </c>
      <c r="F6" s="6">
        <v>0</v>
      </c>
      <c r="G6" s="26">
        <v>0</v>
      </c>
      <c r="H6" s="25">
        <v>0.36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0</v>
      </c>
      <c r="S6" s="6">
        <v>0</v>
      </c>
      <c r="T6" s="6">
        <v>0</v>
      </c>
      <c r="U6" s="26">
        <v>0</v>
      </c>
    </row>
    <row r="7" spans="1:21" x14ac:dyDescent="0.2">
      <c r="A7" s="13" t="s">
        <v>35</v>
      </c>
      <c r="B7" s="25">
        <v>0</v>
      </c>
      <c r="C7" s="6">
        <v>0</v>
      </c>
      <c r="D7" s="6">
        <v>0.01</v>
      </c>
      <c r="E7" s="6">
        <v>0</v>
      </c>
      <c r="F7" s="6">
        <v>0</v>
      </c>
      <c r="G7" s="26">
        <v>0</v>
      </c>
      <c r="H7" s="25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0</v>
      </c>
      <c r="U7" s="26">
        <v>0</v>
      </c>
    </row>
    <row r="8" spans="1:21" x14ac:dyDescent="0.2">
      <c r="A8" s="13" t="s">
        <v>61</v>
      </c>
      <c r="B8" s="25">
        <v>0.01</v>
      </c>
      <c r="C8" s="6">
        <v>0</v>
      </c>
      <c r="D8" s="6">
        <v>0.01</v>
      </c>
      <c r="E8" s="6">
        <v>0</v>
      </c>
      <c r="F8" s="6">
        <v>7.56</v>
      </c>
      <c r="G8" s="26">
        <v>0.96</v>
      </c>
      <c r="H8" s="25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26">
        <v>0</v>
      </c>
    </row>
    <row r="9" spans="1:21" x14ac:dyDescent="0.2">
      <c r="A9" s="13" t="s">
        <v>62</v>
      </c>
      <c r="B9" s="25">
        <v>0</v>
      </c>
      <c r="C9" s="6">
        <v>0</v>
      </c>
      <c r="D9" s="6">
        <v>0</v>
      </c>
      <c r="E9" s="6">
        <v>0.01</v>
      </c>
      <c r="F9" s="6">
        <v>0</v>
      </c>
      <c r="G9" s="26">
        <v>0</v>
      </c>
      <c r="H9" s="25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26">
        <v>0</v>
      </c>
    </row>
    <row r="10" spans="1:21" x14ac:dyDescent="0.2">
      <c r="A10" s="21" t="s">
        <v>87</v>
      </c>
      <c r="B10" s="25">
        <v>0</v>
      </c>
      <c r="C10" s="6">
        <v>0</v>
      </c>
      <c r="D10" s="6">
        <v>0</v>
      </c>
      <c r="E10" s="6">
        <v>0</v>
      </c>
      <c r="F10" s="6">
        <v>0</v>
      </c>
      <c r="G10" s="26">
        <v>0.01</v>
      </c>
      <c r="H10" s="25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26">
        <v>0</v>
      </c>
    </row>
    <row r="11" spans="1:21" x14ac:dyDescent="0.2">
      <c r="A11" s="13" t="s">
        <v>65</v>
      </c>
      <c r="B11" s="25">
        <v>191.72</v>
      </c>
      <c r="C11" s="6">
        <v>921.2</v>
      </c>
      <c r="D11" s="6">
        <v>27.72</v>
      </c>
      <c r="E11" s="6">
        <v>898</v>
      </c>
      <c r="F11" s="6">
        <v>7.8</v>
      </c>
      <c r="G11" s="26">
        <v>80.84</v>
      </c>
      <c r="H11" s="25">
        <v>0.6</v>
      </c>
      <c r="I11" s="6">
        <v>67.599999999999994</v>
      </c>
      <c r="J11" s="6">
        <v>37.4</v>
      </c>
      <c r="K11" s="6">
        <v>77.12</v>
      </c>
      <c r="L11" s="6">
        <v>83</v>
      </c>
      <c r="M11" s="6">
        <v>85.08</v>
      </c>
      <c r="N11" s="6">
        <v>14.84</v>
      </c>
      <c r="O11" s="6">
        <v>7.68</v>
      </c>
      <c r="P11" s="6">
        <v>4.4400000000000004</v>
      </c>
      <c r="Q11" s="6">
        <v>0.96</v>
      </c>
      <c r="R11" s="6">
        <v>1.76</v>
      </c>
      <c r="S11" s="6">
        <v>24.92</v>
      </c>
      <c r="T11" s="6">
        <v>10.16</v>
      </c>
      <c r="U11" s="26">
        <v>0.72</v>
      </c>
    </row>
    <row r="12" spans="1:21" x14ac:dyDescent="0.2">
      <c r="A12" s="13" t="s">
        <v>66</v>
      </c>
      <c r="B12" s="25">
        <v>0</v>
      </c>
      <c r="C12" s="6">
        <v>0</v>
      </c>
      <c r="D12" s="6">
        <v>0</v>
      </c>
      <c r="E12" s="6">
        <v>0</v>
      </c>
      <c r="F12" s="6">
        <v>0</v>
      </c>
      <c r="G12" s="26">
        <v>50.4</v>
      </c>
      <c r="H12" s="25">
        <v>0.48</v>
      </c>
      <c r="I12" s="6">
        <v>8.08</v>
      </c>
      <c r="J12" s="6">
        <v>35.32</v>
      </c>
      <c r="K12" s="6">
        <v>1.52</v>
      </c>
      <c r="L12" s="6">
        <v>8.32</v>
      </c>
      <c r="M12" s="6">
        <v>9.52</v>
      </c>
      <c r="N12" s="6">
        <v>0</v>
      </c>
      <c r="O12" s="6">
        <v>0</v>
      </c>
      <c r="P12" s="6">
        <v>357.08</v>
      </c>
      <c r="Q12" s="6">
        <v>0</v>
      </c>
      <c r="R12" s="6">
        <v>0</v>
      </c>
      <c r="S12" s="6">
        <v>66.400000000000006</v>
      </c>
      <c r="T12" s="6">
        <v>0</v>
      </c>
      <c r="U12" s="26">
        <v>0</v>
      </c>
    </row>
    <row r="13" spans="1:21" x14ac:dyDescent="0.2">
      <c r="A13" s="13" t="s">
        <v>63</v>
      </c>
      <c r="B13" s="27">
        <f>102.4/2</f>
        <v>51.2</v>
      </c>
      <c r="C13" s="18">
        <v>0</v>
      </c>
      <c r="D13" s="18">
        <v>0</v>
      </c>
      <c r="E13" s="18">
        <v>0</v>
      </c>
      <c r="F13" s="18">
        <f>1.72/2</f>
        <v>0.86</v>
      </c>
      <c r="G13" s="28">
        <v>0</v>
      </c>
      <c r="H13" s="27">
        <f>6.84/2</f>
        <v>3.42</v>
      </c>
      <c r="I13" s="18">
        <f>23/2</f>
        <v>11.5</v>
      </c>
      <c r="J13" s="18">
        <f>66.24/2</f>
        <v>33.119999999999997</v>
      </c>
      <c r="K13" s="18">
        <f>58.84/2</f>
        <v>29.42</v>
      </c>
      <c r="L13" s="18">
        <f>112.8/2</f>
        <v>56.4</v>
      </c>
      <c r="M13" s="18">
        <f>26.12/2</f>
        <v>13.06</v>
      </c>
      <c r="N13" s="18">
        <f>22/2</f>
        <v>11</v>
      </c>
      <c r="O13" s="18">
        <f>10/2</f>
        <v>5</v>
      </c>
      <c r="P13" s="18">
        <f>0.72/2</f>
        <v>0.36</v>
      </c>
      <c r="Q13" s="18">
        <f>0.72/2</f>
        <v>0.36</v>
      </c>
      <c r="R13" s="18">
        <f>14/2</f>
        <v>7</v>
      </c>
      <c r="S13" s="18">
        <f>74.88/2</f>
        <v>37.44</v>
      </c>
      <c r="T13" s="18">
        <f>22.16/2</f>
        <v>11.08</v>
      </c>
      <c r="U13" s="28">
        <f>116.4/2</f>
        <v>58.2</v>
      </c>
    </row>
    <row r="14" spans="1:21" x14ac:dyDescent="0.2">
      <c r="A14" s="13" t="s">
        <v>64</v>
      </c>
      <c r="B14" s="27">
        <f>102.4/2</f>
        <v>51.2</v>
      </c>
      <c r="C14" s="18">
        <v>0</v>
      </c>
      <c r="D14" s="18">
        <v>0</v>
      </c>
      <c r="E14" s="18">
        <v>0</v>
      </c>
      <c r="F14" s="18">
        <f>1.72/2</f>
        <v>0.86</v>
      </c>
      <c r="G14" s="28">
        <v>0</v>
      </c>
      <c r="H14" s="27">
        <f>6.84/2</f>
        <v>3.42</v>
      </c>
      <c r="I14" s="18">
        <f>23/2</f>
        <v>11.5</v>
      </c>
      <c r="J14" s="18">
        <f>66.24/2</f>
        <v>33.119999999999997</v>
      </c>
      <c r="K14" s="18">
        <f>58.84/2</f>
        <v>29.42</v>
      </c>
      <c r="L14" s="18">
        <f>112.8/2</f>
        <v>56.4</v>
      </c>
      <c r="M14" s="18">
        <f>26.12/2</f>
        <v>13.06</v>
      </c>
      <c r="N14" s="18">
        <f>22/2</f>
        <v>11</v>
      </c>
      <c r="O14" s="18">
        <f>10/2</f>
        <v>5</v>
      </c>
      <c r="P14" s="18">
        <f>0.72/2</f>
        <v>0.36</v>
      </c>
      <c r="Q14" s="18">
        <f>0.72/2</f>
        <v>0.36</v>
      </c>
      <c r="R14" s="18">
        <f>14/2</f>
        <v>7</v>
      </c>
      <c r="S14" s="18">
        <f>74.88/2</f>
        <v>37.44</v>
      </c>
      <c r="T14" s="18">
        <f>22.16/2</f>
        <v>11.08</v>
      </c>
      <c r="U14" s="28">
        <f>116.4/2</f>
        <v>58.2</v>
      </c>
    </row>
    <row r="15" spans="1:21" x14ac:dyDescent="0.2">
      <c r="A15" s="13" t="s">
        <v>69</v>
      </c>
      <c r="B15" s="25">
        <v>0.12</v>
      </c>
      <c r="C15" s="6">
        <v>0</v>
      </c>
      <c r="D15" s="6">
        <v>0.01</v>
      </c>
      <c r="E15" s="6">
        <v>0</v>
      </c>
      <c r="F15" s="6">
        <v>0</v>
      </c>
      <c r="G15" s="26">
        <v>0</v>
      </c>
      <c r="H15" s="25">
        <v>0</v>
      </c>
      <c r="I15" s="6">
        <v>0</v>
      </c>
      <c r="J15" s="6">
        <v>0.01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6">
        <v>0</v>
      </c>
      <c r="T15" s="6">
        <v>0</v>
      </c>
      <c r="U15" s="26">
        <v>0</v>
      </c>
    </row>
    <row r="16" spans="1:21" x14ac:dyDescent="0.2">
      <c r="A16" s="13" t="s">
        <v>89</v>
      </c>
      <c r="B16" s="25">
        <v>2.2799999999999998</v>
      </c>
      <c r="C16" s="6">
        <v>0</v>
      </c>
      <c r="D16" s="6">
        <v>0</v>
      </c>
      <c r="E16" s="6">
        <v>0</v>
      </c>
      <c r="F16" s="6">
        <v>0</v>
      </c>
      <c r="G16" s="26">
        <v>0</v>
      </c>
      <c r="H16" s="25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  <c r="U16" s="26">
        <v>0</v>
      </c>
    </row>
    <row r="17" spans="1:21" x14ac:dyDescent="0.2">
      <c r="A17" s="13" t="s">
        <v>90</v>
      </c>
      <c r="B17" s="25">
        <v>0</v>
      </c>
      <c r="C17" s="6">
        <v>0</v>
      </c>
      <c r="D17" s="6">
        <v>0.01</v>
      </c>
      <c r="E17" s="6">
        <v>0</v>
      </c>
      <c r="F17" s="6">
        <v>0</v>
      </c>
      <c r="G17" s="26">
        <v>0</v>
      </c>
      <c r="H17" s="25">
        <v>0.6</v>
      </c>
      <c r="I17" s="6">
        <v>0</v>
      </c>
      <c r="J17" s="6">
        <v>0</v>
      </c>
      <c r="K17" s="6">
        <v>0</v>
      </c>
      <c r="L17" s="6">
        <v>0</v>
      </c>
      <c r="M17" s="6">
        <v>0.01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  <c r="S17" s="6">
        <v>0</v>
      </c>
      <c r="T17" s="6">
        <v>0</v>
      </c>
      <c r="U17" s="26">
        <v>0</v>
      </c>
    </row>
    <row r="18" spans="1:21" x14ac:dyDescent="0.2">
      <c r="A18" s="13" t="s">
        <v>71</v>
      </c>
      <c r="B18" s="25">
        <v>0</v>
      </c>
      <c r="C18" s="6">
        <v>0</v>
      </c>
      <c r="D18" s="6">
        <v>0</v>
      </c>
      <c r="E18" s="6">
        <v>0</v>
      </c>
      <c r="F18" s="6">
        <v>0</v>
      </c>
      <c r="G18" s="26">
        <v>0.01</v>
      </c>
      <c r="H18" s="25">
        <v>0</v>
      </c>
      <c r="I18" s="6">
        <v>2.56</v>
      </c>
      <c r="J18" s="6">
        <v>18.2</v>
      </c>
      <c r="K18" s="6">
        <v>0</v>
      </c>
      <c r="L18" s="6">
        <v>0</v>
      </c>
      <c r="M18" s="6">
        <v>0.12</v>
      </c>
      <c r="N18" s="6">
        <v>1</v>
      </c>
      <c r="O18" s="6">
        <v>0</v>
      </c>
      <c r="P18" s="6">
        <v>0</v>
      </c>
      <c r="Q18" s="6">
        <v>0</v>
      </c>
      <c r="R18" s="6">
        <v>0</v>
      </c>
      <c r="S18" s="6">
        <v>0</v>
      </c>
      <c r="T18" s="6">
        <v>0</v>
      </c>
      <c r="U18" s="26">
        <v>0</v>
      </c>
    </row>
    <row r="19" spans="1:21" x14ac:dyDescent="0.2">
      <c r="A19" s="13" t="s">
        <v>72</v>
      </c>
      <c r="B19" s="25">
        <v>0.28000000000000003</v>
      </c>
      <c r="C19" s="6">
        <v>0.36</v>
      </c>
      <c r="D19" s="6">
        <v>0.08</v>
      </c>
      <c r="E19" s="6">
        <v>0</v>
      </c>
      <c r="F19" s="6">
        <v>0</v>
      </c>
      <c r="G19" s="26">
        <v>0</v>
      </c>
      <c r="H19" s="25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  <c r="U19" s="26">
        <v>0</v>
      </c>
    </row>
    <row r="20" spans="1:21" x14ac:dyDescent="0.2">
      <c r="A20" s="13" t="s">
        <v>55</v>
      </c>
      <c r="B20" s="27">
        <f>143.24/2</f>
        <v>71.62</v>
      </c>
      <c r="C20" s="18">
        <f>71.64/2</f>
        <v>35.82</v>
      </c>
      <c r="D20" s="18">
        <f>30.84/2</f>
        <v>15.42</v>
      </c>
      <c r="E20" s="18">
        <v>0</v>
      </c>
      <c r="F20" s="18">
        <v>0</v>
      </c>
      <c r="G20" s="28">
        <f>23.8/2</f>
        <v>11.9</v>
      </c>
      <c r="H20" s="27">
        <v>0</v>
      </c>
      <c r="I20" s="18">
        <f>161.8/2</f>
        <v>80.900000000000006</v>
      </c>
      <c r="J20" s="18">
        <f>144.2/2</f>
        <v>72.099999999999994</v>
      </c>
      <c r="K20" s="18">
        <f>0.8/2</f>
        <v>0.4</v>
      </c>
      <c r="L20" s="18">
        <f>45/2</f>
        <v>22.5</v>
      </c>
      <c r="M20" s="18">
        <f>10.2/2</f>
        <v>5.0999999999999996</v>
      </c>
      <c r="N20" s="18">
        <f>266/2</f>
        <v>133</v>
      </c>
      <c r="O20" s="18">
        <f>262.2/2</f>
        <v>131.1</v>
      </c>
      <c r="P20" s="18">
        <f>35.6/2</f>
        <v>17.8</v>
      </c>
      <c r="Q20" s="18">
        <f>531.6/2</f>
        <v>265.8</v>
      </c>
      <c r="R20" s="18">
        <f>344.52/2</f>
        <v>172.26</v>
      </c>
      <c r="S20" s="18">
        <v>0</v>
      </c>
      <c r="T20" s="18">
        <f>336.24/2</f>
        <v>168.12</v>
      </c>
      <c r="U20" s="28">
        <f>109.64/2</f>
        <v>54.82</v>
      </c>
    </row>
    <row r="21" spans="1:21" x14ac:dyDescent="0.2">
      <c r="A21" s="13" t="s">
        <v>73</v>
      </c>
      <c r="B21" s="25">
        <v>2.48</v>
      </c>
      <c r="C21" s="6">
        <v>0</v>
      </c>
      <c r="D21" s="6">
        <v>0.01</v>
      </c>
      <c r="E21" s="6">
        <v>0</v>
      </c>
      <c r="F21" s="6">
        <v>3.2</v>
      </c>
      <c r="G21" s="26">
        <v>58.28</v>
      </c>
      <c r="H21" s="25">
        <v>69</v>
      </c>
      <c r="I21" s="6">
        <v>11.08</v>
      </c>
      <c r="J21" s="6">
        <v>17.32</v>
      </c>
      <c r="K21" s="6">
        <v>0.44</v>
      </c>
      <c r="L21" s="6">
        <v>44</v>
      </c>
      <c r="M21" s="6">
        <v>0.08</v>
      </c>
      <c r="N21" s="6">
        <v>0</v>
      </c>
      <c r="O21" s="6">
        <v>0</v>
      </c>
      <c r="P21" s="6">
        <v>0</v>
      </c>
      <c r="Q21" s="6">
        <v>0</v>
      </c>
      <c r="R21" s="6">
        <v>0</v>
      </c>
      <c r="S21" s="6">
        <v>0</v>
      </c>
      <c r="T21" s="6">
        <v>0</v>
      </c>
      <c r="U21" s="26">
        <v>0</v>
      </c>
    </row>
    <row r="22" spans="1:21" x14ac:dyDescent="0.2">
      <c r="A22" s="21" t="s">
        <v>93</v>
      </c>
      <c r="B22" s="25">
        <v>0</v>
      </c>
      <c r="C22" s="6">
        <v>0</v>
      </c>
      <c r="D22" s="6">
        <v>0.01</v>
      </c>
      <c r="E22" s="6">
        <v>0</v>
      </c>
      <c r="F22" s="6">
        <v>0</v>
      </c>
      <c r="G22" s="26">
        <v>0</v>
      </c>
      <c r="H22" s="25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  <c r="Q22" s="6">
        <v>0</v>
      </c>
      <c r="R22" s="6">
        <v>0</v>
      </c>
      <c r="S22" s="6">
        <v>0</v>
      </c>
      <c r="T22" s="6">
        <v>0</v>
      </c>
      <c r="U22" s="26">
        <v>0</v>
      </c>
    </row>
    <row r="23" spans="1:21" x14ac:dyDescent="0.2">
      <c r="A23" s="4" t="s">
        <v>80</v>
      </c>
      <c r="B23" s="25">
        <v>13.92</v>
      </c>
      <c r="C23" s="6">
        <v>3.2</v>
      </c>
      <c r="D23" s="6">
        <v>0</v>
      </c>
      <c r="E23" s="6">
        <v>5.2</v>
      </c>
      <c r="F23" s="6">
        <v>317</v>
      </c>
      <c r="G23" s="26">
        <v>519.91999999999996</v>
      </c>
      <c r="H23" s="25">
        <v>15.92</v>
      </c>
      <c r="I23" s="6">
        <v>0.32</v>
      </c>
      <c r="J23" s="6">
        <v>1</v>
      </c>
      <c r="K23" s="6">
        <v>0</v>
      </c>
      <c r="L23" s="6">
        <v>0</v>
      </c>
      <c r="M23" s="6">
        <v>0</v>
      </c>
      <c r="N23" s="6">
        <v>0.76</v>
      </c>
      <c r="O23" s="6">
        <v>0</v>
      </c>
      <c r="P23" s="6">
        <v>0</v>
      </c>
      <c r="Q23" s="6">
        <v>0</v>
      </c>
      <c r="R23" s="6">
        <v>0</v>
      </c>
      <c r="S23" s="6">
        <v>58.8</v>
      </c>
      <c r="T23" s="6">
        <v>0</v>
      </c>
      <c r="U23" s="26">
        <v>0</v>
      </c>
    </row>
    <row r="24" spans="1:21" x14ac:dyDescent="0.2">
      <c r="A24" s="13" t="s">
        <v>92</v>
      </c>
      <c r="B24" s="25">
        <v>0</v>
      </c>
      <c r="C24" s="6">
        <v>0</v>
      </c>
      <c r="D24" s="6">
        <v>0</v>
      </c>
      <c r="E24" s="6">
        <v>0</v>
      </c>
      <c r="F24" s="6">
        <v>0.01</v>
      </c>
      <c r="G24" s="26">
        <v>0</v>
      </c>
      <c r="H24" s="25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6">
        <v>0</v>
      </c>
      <c r="S24" s="6">
        <v>0</v>
      </c>
      <c r="T24" s="6">
        <v>0</v>
      </c>
      <c r="U24" s="26">
        <v>0</v>
      </c>
    </row>
    <row r="25" spans="1:21" x14ac:dyDescent="0.2">
      <c r="A25" s="13" t="s">
        <v>91</v>
      </c>
      <c r="B25" s="25">
        <v>0.01</v>
      </c>
      <c r="C25" s="6">
        <v>0</v>
      </c>
      <c r="D25" s="6">
        <v>0</v>
      </c>
      <c r="E25" s="6">
        <v>0</v>
      </c>
      <c r="F25" s="6">
        <v>0</v>
      </c>
      <c r="G25" s="26">
        <v>0</v>
      </c>
      <c r="H25" s="25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26">
        <v>0</v>
      </c>
    </row>
    <row r="26" spans="1:21" x14ac:dyDescent="0.2">
      <c r="A26" s="13" t="s">
        <v>76</v>
      </c>
      <c r="B26" s="29">
        <v>0</v>
      </c>
      <c r="C26" s="30">
        <v>0</v>
      </c>
      <c r="D26" s="30">
        <v>131.28</v>
      </c>
      <c r="E26" s="30">
        <v>0</v>
      </c>
      <c r="F26" s="30">
        <v>0</v>
      </c>
      <c r="G26" s="31">
        <v>0</v>
      </c>
      <c r="H26" s="29">
        <v>0</v>
      </c>
      <c r="I26" s="30">
        <v>0</v>
      </c>
      <c r="J26" s="30">
        <v>0</v>
      </c>
      <c r="K26" s="30">
        <v>0</v>
      </c>
      <c r="L26" s="30">
        <v>0</v>
      </c>
      <c r="M26" s="30">
        <v>0</v>
      </c>
      <c r="N26" s="30">
        <v>0</v>
      </c>
      <c r="O26" s="30">
        <v>0</v>
      </c>
      <c r="P26" s="30">
        <v>0</v>
      </c>
      <c r="Q26" s="30">
        <v>0</v>
      </c>
      <c r="R26" s="30">
        <v>0</v>
      </c>
      <c r="S26" s="30">
        <v>0</v>
      </c>
      <c r="T26" s="30">
        <v>0</v>
      </c>
      <c r="U26" s="31">
        <v>0</v>
      </c>
    </row>
  </sheetData>
  <sortState xmlns:xlrd2="http://schemas.microsoft.com/office/spreadsheetml/2017/richdata2" ref="A3:U26">
    <sortCondition ref="A3:A26"/>
  </sortState>
  <mergeCells count="2">
    <mergeCell ref="B1:G1"/>
    <mergeCell ref="H1:U1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36"/>
  <sheetViews>
    <sheetView workbookViewId="0">
      <selection activeCell="A5" sqref="A5:XFD5"/>
    </sheetView>
  </sheetViews>
  <sheetFormatPr baseColWidth="10" defaultColWidth="9.1640625" defaultRowHeight="18" x14ac:dyDescent="0.2"/>
  <cols>
    <col min="1" max="1" width="71.83203125" style="21" customWidth="1"/>
    <col min="2" max="3" width="8.83203125" style="21" customWidth="1"/>
    <col min="4" max="4" width="10.5" style="21" customWidth="1"/>
    <col min="5" max="21" width="8.83203125" style="21" customWidth="1"/>
    <col min="22" max="16384" width="9.1640625" style="21"/>
  </cols>
  <sheetData>
    <row r="1" spans="1:21" x14ac:dyDescent="0.2">
      <c r="A1" s="39"/>
      <c r="B1" s="85" t="s">
        <v>26</v>
      </c>
      <c r="C1" s="86"/>
      <c r="D1" s="86"/>
      <c r="E1" s="86"/>
      <c r="F1" s="86"/>
      <c r="G1" s="86"/>
      <c r="H1" s="88" t="s">
        <v>27</v>
      </c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</row>
    <row r="2" spans="1:21" x14ac:dyDescent="0.2">
      <c r="A2" s="38" t="s">
        <v>100</v>
      </c>
      <c r="B2" s="35" t="s">
        <v>1</v>
      </c>
      <c r="C2" s="36" t="s">
        <v>2</v>
      </c>
      <c r="D2" s="36" t="s">
        <v>3</v>
      </c>
      <c r="E2" s="36" t="s">
        <v>4</v>
      </c>
      <c r="F2" s="36" t="s">
        <v>5</v>
      </c>
      <c r="G2" s="37" t="s">
        <v>6</v>
      </c>
      <c r="H2" s="35" t="s">
        <v>7</v>
      </c>
      <c r="I2" s="36" t="s">
        <v>8</v>
      </c>
      <c r="J2" s="36" t="s">
        <v>9</v>
      </c>
      <c r="K2" s="36" t="s">
        <v>10</v>
      </c>
      <c r="L2" s="36" t="s">
        <v>11</v>
      </c>
      <c r="M2" s="36" t="s">
        <v>12</v>
      </c>
      <c r="N2" s="36" t="s">
        <v>13</v>
      </c>
      <c r="O2" s="36" t="s">
        <v>14</v>
      </c>
      <c r="P2" s="36" t="s">
        <v>15</v>
      </c>
      <c r="Q2" s="36" t="s">
        <v>16</v>
      </c>
      <c r="R2" s="36" t="s">
        <v>17</v>
      </c>
      <c r="S2" s="36" t="s">
        <v>18</v>
      </c>
      <c r="T2" s="36" t="s">
        <v>19</v>
      </c>
      <c r="U2" s="37" t="s">
        <v>20</v>
      </c>
    </row>
    <row r="3" spans="1:21" x14ac:dyDescent="0.2">
      <c r="A3" s="13" t="s">
        <v>101</v>
      </c>
      <c r="B3" s="25">
        <v>0</v>
      </c>
      <c r="C3" s="6">
        <v>0.6</v>
      </c>
      <c r="D3" s="6">
        <v>18.84</v>
      </c>
      <c r="E3" s="6">
        <v>0</v>
      </c>
      <c r="F3" s="6">
        <v>0</v>
      </c>
      <c r="G3" s="26">
        <v>0</v>
      </c>
      <c r="H3" s="25">
        <v>0</v>
      </c>
      <c r="I3" s="6">
        <v>0</v>
      </c>
      <c r="J3" s="6">
        <v>0</v>
      </c>
      <c r="K3" s="6">
        <v>0</v>
      </c>
      <c r="L3" s="6">
        <v>0</v>
      </c>
      <c r="M3" s="6">
        <v>0</v>
      </c>
      <c r="N3" s="6">
        <v>0</v>
      </c>
      <c r="O3" s="6">
        <v>0</v>
      </c>
      <c r="P3" s="6">
        <v>0</v>
      </c>
      <c r="Q3" s="6">
        <v>0</v>
      </c>
      <c r="R3" s="6">
        <v>0</v>
      </c>
      <c r="S3" s="6">
        <v>0</v>
      </c>
      <c r="T3" s="6">
        <v>0</v>
      </c>
      <c r="U3" s="26">
        <v>0</v>
      </c>
    </row>
    <row r="4" spans="1:21" x14ac:dyDescent="0.2">
      <c r="A4" s="13" t="s">
        <v>102</v>
      </c>
      <c r="B4" s="25">
        <v>0</v>
      </c>
      <c r="C4" s="6">
        <v>75.92</v>
      </c>
      <c r="D4" s="6">
        <v>0</v>
      </c>
      <c r="E4" s="6">
        <v>37.76</v>
      </c>
      <c r="F4" s="6">
        <v>0</v>
      </c>
      <c r="G4" s="26">
        <v>0</v>
      </c>
      <c r="H4" s="25">
        <v>0.94</v>
      </c>
      <c r="I4" s="6">
        <v>43.5</v>
      </c>
      <c r="J4" s="6">
        <v>12.18</v>
      </c>
      <c r="K4" s="6">
        <v>216.6</v>
      </c>
      <c r="L4" s="6">
        <v>17.739999999999998</v>
      </c>
      <c r="M4" s="6">
        <v>71.56</v>
      </c>
      <c r="N4" s="6">
        <v>226.76</v>
      </c>
      <c r="O4" s="6">
        <v>44.9</v>
      </c>
      <c r="P4" s="6">
        <v>259.39999999999998</v>
      </c>
      <c r="Q4" s="6">
        <v>184.82</v>
      </c>
      <c r="R4" s="6">
        <v>216.14</v>
      </c>
      <c r="S4" s="6">
        <v>1.76</v>
      </c>
      <c r="T4" s="6">
        <v>62.26</v>
      </c>
      <c r="U4" s="26">
        <v>2.2000000000000002</v>
      </c>
    </row>
    <row r="5" spans="1:21" x14ac:dyDescent="0.2">
      <c r="A5" s="13" t="s">
        <v>103</v>
      </c>
      <c r="B5" s="25">
        <v>0</v>
      </c>
      <c r="C5" s="6">
        <v>44.72</v>
      </c>
      <c r="D5" s="6">
        <v>628</v>
      </c>
      <c r="E5" s="6">
        <v>0</v>
      </c>
      <c r="F5" s="6">
        <v>0</v>
      </c>
      <c r="G5" s="26">
        <v>0</v>
      </c>
      <c r="H5" s="25">
        <v>136.88</v>
      </c>
      <c r="I5" s="6">
        <v>20.6</v>
      </c>
      <c r="J5" s="6">
        <v>13.44</v>
      </c>
      <c r="K5" s="6">
        <v>0</v>
      </c>
      <c r="L5" s="6">
        <v>25.64</v>
      </c>
      <c r="M5" s="6">
        <v>34.76</v>
      </c>
      <c r="N5" s="6">
        <v>0</v>
      </c>
      <c r="O5" s="6">
        <v>0</v>
      </c>
      <c r="P5" s="6">
        <v>0</v>
      </c>
      <c r="Q5" s="6">
        <v>0</v>
      </c>
      <c r="R5" s="6">
        <v>0</v>
      </c>
      <c r="S5" s="6">
        <v>0</v>
      </c>
      <c r="T5" s="6">
        <v>0</v>
      </c>
      <c r="U5" s="26">
        <v>2.72</v>
      </c>
    </row>
    <row r="6" spans="1:21" x14ac:dyDescent="0.2">
      <c r="A6" s="13" t="s">
        <v>127</v>
      </c>
      <c r="B6" s="25">
        <v>0</v>
      </c>
      <c r="C6" s="6">
        <v>0</v>
      </c>
      <c r="D6" s="6">
        <v>3.2</v>
      </c>
      <c r="E6" s="6">
        <v>77</v>
      </c>
      <c r="F6" s="6">
        <v>0</v>
      </c>
      <c r="G6" s="26">
        <v>0</v>
      </c>
      <c r="H6" s="25">
        <v>0.52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0</v>
      </c>
      <c r="S6" s="6">
        <v>0</v>
      </c>
      <c r="T6" s="6">
        <v>0</v>
      </c>
      <c r="U6" s="26">
        <v>0</v>
      </c>
    </row>
    <row r="7" spans="1:21" x14ac:dyDescent="0.2">
      <c r="A7" s="13" t="s">
        <v>104</v>
      </c>
      <c r="B7" s="25">
        <v>0</v>
      </c>
      <c r="C7" s="6">
        <v>0.01</v>
      </c>
      <c r="D7" s="6">
        <v>0.01</v>
      </c>
      <c r="E7" s="6">
        <v>0.01</v>
      </c>
      <c r="F7" s="6">
        <v>0</v>
      </c>
      <c r="G7" s="26">
        <v>0.01</v>
      </c>
      <c r="H7" s="25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0</v>
      </c>
      <c r="U7" s="26">
        <v>0</v>
      </c>
    </row>
    <row r="8" spans="1:21" x14ac:dyDescent="0.2">
      <c r="A8" s="13" t="s">
        <v>105</v>
      </c>
      <c r="B8" s="25">
        <v>0</v>
      </c>
      <c r="C8" s="6">
        <v>0.01</v>
      </c>
      <c r="D8" s="6">
        <v>0</v>
      </c>
      <c r="E8" s="6">
        <v>0.01</v>
      </c>
      <c r="F8" s="6">
        <v>0</v>
      </c>
      <c r="G8" s="26">
        <v>0.01</v>
      </c>
      <c r="H8" s="25">
        <v>0.01</v>
      </c>
      <c r="I8" s="6">
        <v>0.01</v>
      </c>
      <c r="J8" s="6">
        <v>0.01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26">
        <v>0</v>
      </c>
    </row>
    <row r="9" spans="1:21" x14ac:dyDescent="0.2">
      <c r="A9" s="13" t="s">
        <v>106</v>
      </c>
      <c r="B9" s="25">
        <v>473.64</v>
      </c>
      <c r="C9" s="6">
        <v>0</v>
      </c>
      <c r="D9" s="6">
        <v>1172.48</v>
      </c>
      <c r="E9" s="6">
        <v>0</v>
      </c>
      <c r="F9" s="6">
        <v>0</v>
      </c>
      <c r="G9" s="26">
        <v>0</v>
      </c>
      <c r="H9" s="25">
        <v>0</v>
      </c>
      <c r="I9" s="6">
        <v>0</v>
      </c>
      <c r="J9" s="6">
        <v>5.92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26">
        <v>0</v>
      </c>
    </row>
    <row r="10" spans="1:21" x14ac:dyDescent="0.2">
      <c r="A10" s="13" t="s">
        <v>107</v>
      </c>
      <c r="B10" s="25">
        <v>0.8</v>
      </c>
      <c r="C10" s="6">
        <v>0</v>
      </c>
      <c r="D10" s="6">
        <v>0.52</v>
      </c>
      <c r="E10" s="6">
        <v>0</v>
      </c>
      <c r="F10" s="6">
        <v>0</v>
      </c>
      <c r="G10" s="26">
        <v>0</v>
      </c>
      <c r="H10" s="25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26">
        <v>0</v>
      </c>
    </row>
    <row r="11" spans="1:21" x14ac:dyDescent="0.2">
      <c r="A11" s="13" t="s">
        <v>109</v>
      </c>
      <c r="B11" s="25">
        <v>0</v>
      </c>
      <c r="C11" s="6">
        <v>0</v>
      </c>
      <c r="D11" s="6">
        <v>0</v>
      </c>
      <c r="E11" s="6">
        <v>0.16</v>
      </c>
      <c r="F11" s="6">
        <v>0</v>
      </c>
      <c r="G11" s="26">
        <v>0</v>
      </c>
      <c r="H11" s="25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26">
        <v>0</v>
      </c>
    </row>
    <row r="12" spans="1:21" x14ac:dyDescent="0.2">
      <c r="A12" s="40" t="s">
        <v>131</v>
      </c>
      <c r="B12" s="25">
        <v>0</v>
      </c>
      <c r="C12" s="6">
        <v>0</v>
      </c>
      <c r="D12" s="6">
        <v>0</v>
      </c>
      <c r="E12" s="6">
        <v>0</v>
      </c>
      <c r="F12" s="6">
        <v>0</v>
      </c>
      <c r="G12" s="26">
        <v>0</v>
      </c>
      <c r="H12" s="25">
        <v>0</v>
      </c>
      <c r="I12" s="6">
        <v>0.2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  <c r="S12" s="6">
        <v>0</v>
      </c>
      <c r="T12" s="6">
        <v>0</v>
      </c>
      <c r="U12" s="26">
        <v>0</v>
      </c>
    </row>
    <row r="13" spans="1:21" x14ac:dyDescent="0.2">
      <c r="A13" s="13" t="s">
        <v>108</v>
      </c>
      <c r="B13" s="25">
        <v>0</v>
      </c>
      <c r="C13" s="6">
        <v>0</v>
      </c>
      <c r="D13" s="6">
        <v>0</v>
      </c>
      <c r="E13" s="6">
        <v>0</v>
      </c>
      <c r="F13" s="6">
        <v>0</v>
      </c>
      <c r="G13" s="26">
        <v>0.01</v>
      </c>
      <c r="H13" s="25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0</v>
      </c>
      <c r="U13" s="26">
        <v>0.01</v>
      </c>
    </row>
    <row r="14" spans="1:21" x14ac:dyDescent="0.2">
      <c r="A14" s="13" t="s">
        <v>110</v>
      </c>
      <c r="B14" s="25">
        <v>0</v>
      </c>
      <c r="C14" s="6">
        <v>239.24</v>
      </c>
      <c r="D14" s="6">
        <v>14</v>
      </c>
      <c r="E14" s="6">
        <v>434.2</v>
      </c>
      <c r="F14" s="6">
        <v>0</v>
      </c>
      <c r="G14" s="26">
        <v>2</v>
      </c>
      <c r="H14" s="25">
        <v>32.56</v>
      </c>
      <c r="I14" s="6">
        <v>82.36</v>
      </c>
      <c r="J14" s="6">
        <v>253.52</v>
      </c>
      <c r="K14" s="6">
        <v>174.2</v>
      </c>
      <c r="L14" s="6">
        <v>244.68</v>
      </c>
      <c r="M14" s="6">
        <v>144.24</v>
      </c>
      <c r="N14" s="6">
        <v>3.72</v>
      </c>
      <c r="O14" s="6">
        <v>23.32</v>
      </c>
      <c r="P14" s="6">
        <v>65.599999999999994</v>
      </c>
      <c r="Q14" s="6">
        <v>0.32</v>
      </c>
      <c r="R14" s="6">
        <v>0</v>
      </c>
      <c r="S14" s="6">
        <v>573.36</v>
      </c>
      <c r="T14" s="6">
        <v>76.400000000000006</v>
      </c>
      <c r="U14" s="26">
        <v>128.91999999999999</v>
      </c>
    </row>
    <row r="15" spans="1:21" x14ac:dyDescent="0.2">
      <c r="A15" s="13" t="s">
        <v>111</v>
      </c>
      <c r="B15" s="25">
        <v>0</v>
      </c>
      <c r="C15" s="6">
        <v>0</v>
      </c>
      <c r="D15" s="6">
        <v>45.6</v>
      </c>
      <c r="E15" s="6">
        <v>0</v>
      </c>
      <c r="F15" s="6">
        <v>0</v>
      </c>
      <c r="G15" s="26">
        <v>0</v>
      </c>
      <c r="H15" s="25">
        <v>85.2</v>
      </c>
      <c r="I15" s="6">
        <v>7.36</v>
      </c>
      <c r="J15" s="6">
        <v>6.44</v>
      </c>
      <c r="K15" s="6">
        <v>0</v>
      </c>
      <c r="L15" s="6">
        <v>0.8</v>
      </c>
      <c r="M15" s="6">
        <v>12.92</v>
      </c>
      <c r="N15" s="6">
        <v>0</v>
      </c>
      <c r="O15" s="6">
        <v>4.4400000000000004</v>
      </c>
      <c r="P15" s="6">
        <v>0</v>
      </c>
      <c r="Q15" s="6">
        <v>0</v>
      </c>
      <c r="R15" s="6">
        <v>0.96</v>
      </c>
      <c r="S15" s="6">
        <v>0</v>
      </c>
      <c r="T15" s="6">
        <v>0</v>
      </c>
      <c r="U15" s="26">
        <v>2</v>
      </c>
    </row>
    <row r="16" spans="1:21" x14ac:dyDescent="0.2">
      <c r="A16" s="13" t="s">
        <v>112</v>
      </c>
      <c r="B16" s="25">
        <v>0</v>
      </c>
      <c r="C16" s="6">
        <v>35.5</v>
      </c>
      <c r="D16" s="6">
        <v>7.36</v>
      </c>
      <c r="E16" s="6">
        <v>5.8</v>
      </c>
      <c r="F16" s="6">
        <v>367.8</v>
      </c>
      <c r="G16" s="26">
        <v>486.66</v>
      </c>
      <c r="H16" s="25">
        <v>35.64</v>
      </c>
      <c r="I16" s="6">
        <v>50.22</v>
      </c>
      <c r="J16" s="6">
        <v>21.9</v>
      </c>
      <c r="K16" s="6">
        <v>19.66</v>
      </c>
      <c r="L16" s="6">
        <v>40.72</v>
      </c>
      <c r="M16" s="6">
        <v>35.42</v>
      </c>
      <c r="N16" s="6">
        <v>39.659999999999997</v>
      </c>
      <c r="O16" s="6">
        <v>57.72</v>
      </c>
      <c r="P16" s="6">
        <v>6.36</v>
      </c>
      <c r="Q16" s="6">
        <v>5.94</v>
      </c>
      <c r="R16" s="6">
        <v>2.98</v>
      </c>
      <c r="S16" s="6">
        <v>15.66</v>
      </c>
      <c r="T16" s="6">
        <v>45.92</v>
      </c>
      <c r="U16" s="26">
        <v>34.96</v>
      </c>
    </row>
    <row r="17" spans="1:21" x14ac:dyDescent="0.2">
      <c r="A17" s="13" t="s">
        <v>113</v>
      </c>
      <c r="B17" s="25">
        <v>0</v>
      </c>
      <c r="C17" s="6">
        <v>0</v>
      </c>
      <c r="D17" s="6">
        <v>0</v>
      </c>
      <c r="E17" s="6">
        <v>0</v>
      </c>
      <c r="F17" s="6">
        <v>20.079999999999998</v>
      </c>
      <c r="G17" s="26">
        <v>0</v>
      </c>
      <c r="H17" s="25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  <c r="S17" s="6">
        <v>0</v>
      </c>
      <c r="T17" s="6">
        <v>0</v>
      </c>
      <c r="U17" s="26">
        <v>0</v>
      </c>
    </row>
    <row r="18" spans="1:21" x14ac:dyDescent="0.2">
      <c r="A18" s="13" t="s">
        <v>114</v>
      </c>
      <c r="B18" s="25">
        <v>0</v>
      </c>
      <c r="C18" s="6">
        <v>35.5</v>
      </c>
      <c r="D18" s="6">
        <v>7.36</v>
      </c>
      <c r="E18" s="6">
        <v>5.8</v>
      </c>
      <c r="F18" s="6">
        <v>367.8</v>
      </c>
      <c r="G18" s="26">
        <v>486.66</v>
      </c>
      <c r="H18" s="25">
        <v>35.64</v>
      </c>
      <c r="I18" s="6">
        <v>50.22</v>
      </c>
      <c r="J18" s="6">
        <v>21.9</v>
      </c>
      <c r="K18" s="6">
        <v>19.66</v>
      </c>
      <c r="L18" s="6">
        <v>40.72</v>
      </c>
      <c r="M18" s="6">
        <v>35.42</v>
      </c>
      <c r="N18" s="6">
        <v>39.659999999999997</v>
      </c>
      <c r="O18" s="6">
        <v>57.72</v>
      </c>
      <c r="P18" s="6">
        <v>6.36</v>
      </c>
      <c r="Q18" s="6">
        <v>5.94</v>
      </c>
      <c r="R18" s="6">
        <v>2.98</v>
      </c>
      <c r="S18" s="6">
        <v>15.66</v>
      </c>
      <c r="T18" s="6">
        <v>45.92</v>
      </c>
      <c r="U18" s="26">
        <v>34.96</v>
      </c>
    </row>
    <row r="19" spans="1:21" x14ac:dyDescent="0.2">
      <c r="A19" s="13" t="s">
        <v>115</v>
      </c>
      <c r="B19" s="25">
        <v>0</v>
      </c>
      <c r="C19" s="6">
        <v>0</v>
      </c>
      <c r="D19" s="6">
        <v>0</v>
      </c>
      <c r="E19" s="6">
        <v>0.01</v>
      </c>
      <c r="F19" s="6">
        <v>0</v>
      </c>
      <c r="G19" s="26">
        <v>0</v>
      </c>
      <c r="H19" s="25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  <c r="U19" s="26">
        <v>0</v>
      </c>
    </row>
    <row r="20" spans="1:21" x14ac:dyDescent="0.2">
      <c r="A20" s="13" t="s">
        <v>116</v>
      </c>
      <c r="B20" s="25">
        <v>0</v>
      </c>
      <c r="C20" s="6">
        <v>0</v>
      </c>
      <c r="D20" s="6">
        <v>0</v>
      </c>
      <c r="E20" s="6">
        <v>0</v>
      </c>
      <c r="F20" s="6">
        <v>0</v>
      </c>
      <c r="G20" s="26">
        <v>0</v>
      </c>
      <c r="H20" s="25">
        <v>0</v>
      </c>
      <c r="I20" s="6">
        <v>0</v>
      </c>
      <c r="J20" s="6">
        <v>0</v>
      </c>
      <c r="K20" s="6">
        <v>0</v>
      </c>
      <c r="L20" s="6">
        <v>0</v>
      </c>
      <c r="M20" s="6">
        <v>0.01</v>
      </c>
      <c r="N20" s="6">
        <v>0</v>
      </c>
      <c r="O20" s="6">
        <v>0</v>
      </c>
      <c r="P20" s="6">
        <v>0</v>
      </c>
      <c r="Q20" s="6">
        <v>0</v>
      </c>
      <c r="R20" s="6">
        <v>0</v>
      </c>
      <c r="S20" s="6">
        <v>0</v>
      </c>
      <c r="T20" s="6">
        <v>0</v>
      </c>
      <c r="U20" s="26">
        <v>0</v>
      </c>
    </row>
    <row r="21" spans="1:21" x14ac:dyDescent="0.2">
      <c r="A21" s="13" t="s">
        <v>129</v>
      </c>
      <c r="B21" s="25">
        <v>0</v>
      </c>
      <c r="C21" s="6">
        <v>0</v>
      </c>
      <c r="D21" s="6">
        <v>0</v>
      </c>
      <c r="E21" s="6">
        <v>0</v>
      </c>
      <c r="F21" s="6">
        <v>0</v>
      </c>
      <c r="G21" s="26">
        <v>0</v>
      </c>
      <c r="H21" s="25">
        <v>0</v>
      </c>
      <c r="I21" s="6">
        <v>0</v>
      </c>
      <c r="J21" s="6">
        <v>0</v>
      </c>
      <c r="K21" s="6">
        <v>0</v>
      </c>
      <c r="L21" s="6">
        <v>0</v>
      </c>
      <c r="M21" s="6">
        <v>0.01</v>
      </c>
      <c r="N21" s="6">
        <v>0</v>
      </c>
      <c r="O21" s="6">
        <v>0</v>
      </c>
      <c r="P21" s="6">
        <v>0</v>
      </c>
      <c r="Q21" s="6">
        <v>0</v>
      </c>
      <c r="R21" s="6">
        <v>0</v>
      </c>
      <c r="S21" s="6">
        <v>0</v>
      </c>
      <c r="T21" s="6">
        <v>0</v>
      </c>
      <c r="U21" s="26">
        <v>0</v>
      </c>
    </row>
    <row r="22" spans="1:21" x14ac:dyDescent="0.2">
      <c r="A22" s="13" t="s">
        <v>117</v>
      </c>
      <c r="B22" s="25">
        <v>0</v>
      </c>
      <c r="C22" s="6">
        <v>0</v>
      </c>
      <c r="D22" s="6">
        <v>0</v>
      </c>
      <c r="E22" s="6">
        <v>0</v>
      </c>
      <c r="F22" s="6">
        <v>0</v>
      </c>
      <c r="G22" s="26">
        <v>0.01</v>
      </c>
      <c r="H22" s="25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  <c r="Q22" s="6">
        <v>0</v>
      </c>
      <c r="R22" s="6">
        <v>0</v>
      </c>
      <c r="S22" s="6">
        <v>0</v>
      </c>
      <c r="T22" s="6">
        <v>0</v>
      </c>
      <c r="U22" s="26">
        <v>0</v>
      </c>
    </row>
    <row r="23" spans="1:21" x14ac:dyDescent="0.2">
      <c r="A23" s="13" t="s">
        <v>118</v>
      </c>
      <c r="B23" s="25">
        <v>0</v>
      </c>
      <c r="C23" s="6">
        <v>0</v>
      </c>
      <c r="D23" s="6">
        <v>0</v>
      </c>
      <c r="E23" s="6">
        <v>0.01</v>
      </c>
      <c r="F23" s="6">
        <v>0</v>
      </c>
      <c r="G23" s="26">
        <v>0</v>
      </c>
      <c r="H23" s="25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  <c r="Q23" s="6">
        <v>0</v>
      </c>
      <c r="R23" s="6">
        <v>0</v>
      </c>
      <c r="S23" s="6">
        <v>0</v>
      </c>
      <c r="T23" s="6">
        <v>0</v>
      </c>
      <c r="U23" s="26">
        <v>0</v>
      </c>
    </row>
    <row r="24" spans="1:21" x14ac:dyDescent="0.2">
      <c r="A24" s="13" t="s">
        <v>130</v>
      </c>
      <c r="B24" s="25">
        <v>0</v>
      </c>
      <c r="C24" s="6">
        <v>0</v>
      </c>
      <c r="D24" s="6">
        <v>0</v>
      </c>
      <c r="E24" s="6">
        <v>0</v>
      </c>
      <c r="F24" s="6">
        <v>0</v>
      </c>
      <c r="G24" s="26">
        <v>0.01</v>
      </c>
      <c r="H24" s="25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6">
        <v>0</v>
      </c>
      <c r="S24" s="6">
        <v>0</v>
      </c>
      <c r="T24" s="6">
        <v>0</v>
      </c>
      <c r="U24" s="26">
        <v>0</v>
      </c>
    </row>
    <row r="25" spans="1:21" x14ac:dyDescent="0.2">
      <c r="A25" s="13" t="s">
        <v>119</v>
      </c>
      <c r="B25" s="25">
        <v>0</v>
      </c>
      <c r="C25" s="6">
        <v>0.01</v>
      </c>
      <c r="D25" s="6">
        <v>0</v>
      </c>
      <c r="E25" s="6">
        <v>0.12</v>
      </c>
      <c r="F25" s="6">
        <v>3.2</v>
      </c>
      <c r="G25" s="26">
        <v>0.01</v>
      </c>
      <c r="H25" s="25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26">
        <v>0</v>
      </c>
    </row>
    <row r="26" spans="1:21" x14ac:dyDescent="0.2">
      <c r="A26" s="13" t="s">
        <v>120</v>
      </c>
      <c r="B26" s="25">
        <v>0</v>
      </c>
      <c r="C26" s="6">
        <v>0</v>
      </c>
      <c r="D26" s="6">
        <v>0</v>
      </c>
      <c r="E26" s="6">
        <v>0</v>
      </c>
      <c r="F26" s="6">
        <v>0</v>
      </c>
      <c r="G26" s="26">
        <v>0.01</v>
      </c>
      <c r="H26" s="25">
        <v>0</v>
      </c>
      <c r="I26" s="6">
        <v>0</v>
      </c>
      <c r="J26" s="6">
        <v>0</v>
      </c>
      <c r="K26" s="6">
        <v>0</v>
      </c>
      <c r="L26" s="6">
        <v>0</v>
      </c>
      <c r="M26" s="6">
        <v>0</v>
      </c>
      <c r="N26" s="6">
        <v>0</v>
      </c>
      <c r="O26" s="6">
        <v>0</v>
      </c>
      <c r="P26" s="6">
        <v>0</v>
      </c>
      <c r="Q26" s="6">
        <v>0</v>
      </c>
      <c r="R26" s="6">
        <v>0</v>
      </c>
      <c r="S26" s="6">
        <v>0</v>
      </c>
      <c r="T26" s="6">
        <v>0</v>
      </c>
      <c r="U26" s="26">
        <v>0</v>
      </c>
    </row>
    <row r="27" spans="1:21" x14ac:dyDescent="0.2">
      <c r="A27" s="13" t="s">
        <v>121</v>
      </c>
      <c r="B27" s="25">
        <v>0</v>
      </c>
      <c r="C27" s="6">
        <v>0</v>
      </c>
      <c r="D27" s="6">
        <v>0.01</v>
      </c>
      <c r="E27" s="6">
        <v>0</v>
      </c>
      <c r="F27" s="6">
        <v>0</v>
      </c>
      <c r="G27" s="26">
        <v>0</v>
      </c>
      <c r="H27" s="25">
        <v>0.01</v>
      </c>
      <c r="I27" s="6">
        <v>0.01</v>
      </c>
      <c r="J27" s="6">
        <v>0</v>
      </c>
      <c r="K27" s="6">
        <v>0</v>
      </c>
      <c r="L27" s="6">
        <v>0.8</v>
      </c>
      <c r="M27" s="6">
        <v>8.56</v>
      </c>
      <c r="N27" s="6">
        <v>0.01</v>
      </c>
      <c r="O27" s="6">
        <v>0.8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26">
        <v>0</v>
      </c>
    </row>
    <row r="28" spans="1:21" x14ac:dyDescent="0.2">
      <c r="A28" s="13" t="s">
        <v>122</v>
      </c>
      <c r="B28" s="25">
        <v>0</v>
      </c>
      <c r="C28" s="6">
        <v>0.8</v>
      </c>
      <c r="D28" s="6">
        <v>1.88</v>
      </c>
      <c r="E28" s="6">
        <v>0</v>
      </c>
      <c r="F28" s="6">
        <v>0</v>
      </c>
      <c r="G28" s="26">
        <v>0</v>
      </c>
      <c r="H28" s="25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0.2</v>
      </c>
      <c r="P28" s="6">
        <v>0</v>
      </c>
      <c r="Q28" s="6">
        <v>0</v>
      </c>
      <c r="R28" s="6">
        <v>0</v>
      </c>
      <c r="S28" s="6">
        <v>0</v>
      </c>
      <c r="T28" s="6">
        <v>0</v>
      </c>
      <c r="U28" s="26">
        <v>0</v>
      </c>
    </row>
    <row r="29" spans="1:21" x14ac:dyDescent="0.2">
      <c r="A29" s="13" t="s">
        <v>55</v>
      </c>
      <c r="B29" s="25">
        <v>0</v>
      </c>
      <c r="C29" s="6">
        <v>75.92</v>
      </c>
      <c r="D29" s="6">
        <v>0</v>
      </c>
      <c r="E29" s="6">
        <v>37.76</v>
      </c>
      <c r="F29" s="6">
        <v>0</v>
      </c>
      <c r="G29" s="26">
        <v>0</v>
      </c>
      <c r="H29" s="25">
        <v>0.94</v>
      </c>
      <c r="I29" s="6">
        <v>43.5</v>
      </c>
      <c r="J29" s="6">
        <v>12.18</v>
      </c>
      <c r="K29" s="6">
        <v>216.6</v>
      </c>
      <c r="L29" s="6">
        <v>17.739999999999998</v>
      </c>
      <c r="M29" s="6">
        <v>71.56</v>
      </c>
      <c r="N29" s="6">
        <v>226.76</v>
      </c>
      <c r="O29" s="6">
        <v>44.9</v>
      </c>
      <c r="P29" s="6">
        <v>259.39999999999998</v>
      </c>
      <c r="Q29" s="6">
        <v>184.82</v>
      </c>
      <c r="R29" s="6">
        <v>216.14</v>
      </c>
      <c r="S29" s="6">
        <v>1.76</v>
      </c>
      <c r="T29" s="6">
        <v>62.26</v>
      </c>
      <c r="U29" s="26">
        <v>2.2000000000000002</v>
      </c>
    </row>
    <row r="30" spans="1:21" x14ac:dyDescent="0.2">
      <c r="A30" s="13" t="s">
        <v>123</v>
      </c>
      <c r="B30" s="25">
        <v>0</v>
      </c>
      <c r="C30" s="6">
        <v>0.8</v>
      </c>
      <c r="D30" s="6">
        <v>138.28</v>
      </c>
      <c r="E30" s="6">
        <v>3.32</v>
      </c>
      <c r="F30" s="6">
        <v>0</v>
      </c>
      <c r="G30" s="26">
        <v>0</v>
      </c>
      <c r="H30" s="25">
        <v>60.84</v>
      </c>
      <c r="I30" s="6">
        <v>42.2</v>
      </c>
      <c r="J30" s="6">
        <v>14.48</v>
      </c>
      <c r="K30" s="6">
        <v>0</v>
      </c>
      <c r="L30" s="6">
        <v>20.239999999999998</v>
      </c>
      <c r="M30" s="6">
        <v>12.8</v>
      </c>
      <c r="N30" s="6">
        <v>0</v>
      </c>
      <c r="O30" s="6">
        <v>145.6</v>
      </c>
      <c r="P30" s="6">
        <v>0</v>
      </c>
      <c r="Q30" s="6">
        <v>0</v>
      </c>
      <c r="R30" s="6">
        <v>0</v>
      </c>
      <c r="S30" s="6">
        <v>0</v>
      </c>
      <c r="T30" s="6">
        <v>1.36</v>
      </c>
      <c r="U30" s="26">
        <v>0.48</v>
      </c>
    </row>
    <row r="31" spans="1:21" x14ac:dyDescent="0.2">
      <c r="A31" s="13" t="s">
        <v>128</v>
      </c>
      <c r="B31" s="25">
        <v>0</v>
      </c>
      <c r="C31" s="6">
        <v>10.16</v>
      </c>
      <c r="D31" s="6">
        <v>0</v>
      </c>
      <c r="E31" s="6">
        <v>11.72</v>
      </c>
      <c r="F31" s="6">
        <v>0</v>
      </c>
      <c r="G31" s="26">
        <v>1.6</v>
      </c>
      <c r="H31" s="25">
        <v>577.76</v>
      </c>
      <c r="I31" s="6">
        <v>337.24</v>
      </c>
      <c r="J31" s="6">
        <v>125.88</v>
      </c>
      <c r="K31" s="6">
        <v>0</v>
      </c>
      <c r="L31" s="6">
        <v>966.6</v>
      </c>
      <c r="M31" s="6">
        <v>0.92</v>
      </c>
      <c r="N31" s="6">
        <v>0</v>
      </c>
      <c r="O31" s="6">
        <v>0</v>
      </c>
      <c r="P31" s="6">
        <v>0</v>
      </c>
      <c r="Q31" s="6">
        <v>0</v>
      </c>
      <c r="R31" s="6">
        <v>2.04</v>
      </c>
      <c r="S31" s="6">
        <v>0</v>
      </c>
      <c r="T31" s="6">
        <v>5.04</v>
      </c>
      <c r="U31" s="26">
        <v>48</v>
      </c>
    </row>
    <row r="32" spans="1:21" x14ac:dyDescent="0.2">
      <c r="A32" s="13" t="s">
        <v>124</v>
      </c>
      <c r="B32" s="25">
        <v>0</v>
      </c>
      <c r="C32" s="6">
        <v>0</v>
      </c>
      <c r="D32" s="6">
        <v>0</v>
      </c>
      <c r="E32" s="6">
        <v>0</v>
      </c>
      <c r="F32" s="6">
        <v>0</v>
      </c>
      <c r="G32" s="26">
        <v>0</v>
      </c>
      <c r="H32" s="25">
        <v>0</v>
      </c>
      <c r="I32" s="6">
        <v>0</v>
      </c>
      <c r="J32" s="6">
        <v>0.01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  <c r="P32" s="6">
        <v>0</v>
      </c>
      <c r="Q32" s="6">
        <v>0</v>
      </c>
      <c r="R32" s="6">
        <v>0</v>
      </c>
      <c r="S32" s="6">
        <v>0</v>
      </c>
      <c r="T32" s="6">
        <v>0</v>
      </c>
      <c r="U32" s="26">
        <v>0</v>
      </c>
    </row>
    <row r="33" spans="1:21" x14ac:dyDescent="0.2">
      <c r="A33" s="13" t="s">
        <v>125</v>
      </c>
      <c r="B33" s="25">
        <v>0</v>
      </c>
      <c r="C33" s="6">
        <v>39.24</v>
      </c>
      <c r="D33" s="6">
        <v>0</v>
      </c>
      <c r="E33" s="6">
        <v>0</v>
      </c>
      <c r="F33" s="6">
        <v>0</v>
      </c>
      <c r="G33" s="26">
        <v>27.08</v>
      </c>
      <c r="H33" s="25">
        <v>0</v>
      </c>
      <c r="I33" s="6">
        <v>0</v>
      </c>
      <c r="J33" s="6">
        <v>17.239999999999998</v>
      </c>
      <c r="K33" s="6">
        <v>0</v>
      </c>
      <c r="L33" s="6">
        <v>0</v>
      </c>
      <c r="M33" s="6">
        <v>0</v>
      </c>
      <c r="N33" s="6">
        <v>0</v>
      </c>
      <c r="O33" s="6">
        <v>0</v>
      </c>
      <c r="P33" s="6">
        <v>0</v>
      </c>
      <c r="Q33" s="6">
        <v>0</v>
      </c>
      <c r="R33" s="6">
        <v>0</v>
      </c>
      <c r="S33" s="6">
        <v>0</v>
      </c>
      <c r="T33" s="6">
        <v>0</v>
      </c>
      <c r="U33" s="26">
        <v>0</v>
      </c>
    </row>
    <row r="34" spans="1:21" x14ac:dyDescent="0.2">
      <c r="A34" s="15" t="s">
        <v>126</v>
      </c>
      <c r="B34" s="25">
        <v>0</v>
      </c>
      <c r="C34" s="6">
        <v>0.01</v>
      </c>
      <c r="D34" s="6">
        <v>0</v>
      </c>
      <c r="E34" s="6">
        <v>0</v>
      </c>
      <c r="F34" s="6">
        <v>0</v>
      </c>
      <c r="G34" s="26">
        <v>0.92</v>
      </c>
      <c r="H34" s="25">
        <v>0.01</v>
      </c>
      <c r="I34" s="6">
        <v>0.01</v>
      </c>
      <c r="J34" s="6">
        <v>0</v>
      </c>
      <c r="K34" s="6">
        <v>0</v>
      </c>
      <c r="L34" s="6">
        <v>0</v>
      </c>
      <c r="M34" s="6">
        <v>0</v>
      </c>
      <c r="N34" s="6">
        <v>0</v>
      </c>
      <c r="O34" s="6">
        <v>0</v>
      </c>
      <c r="P34" s="6">
        <v>0</v>
      </c>
      <c r="Q34" s="6">
        <v>0</v>
      </c>
      <c r="R34" s="6">
        <v>0</v>
      </c>
      <c r="S34" s="6">
        <v>0</v>
      </c>
      <c r="T34" s="6">
        <v>0</v>
      </c>
      <c r="U34" s="26">
        <v>0</v>
      </c>
    </row>
    <row r="35" spans="1:21" x14ac:dyDescent="0.2">
      <c r="A35" s="41" t="s">
        <v>132</v>
      </c>
      <c r="B35" s="29">
        <v>0</v>
      </c>
      <c r="C35" s="30">
        <v>0</v>
      </c>
      <c r="D35" s="30">
        <v>0</v>
      </c>
      <c r="E35" s="30">
        <v>0</v>
      </c>
      <c r="F35" s="30">
        <v>0</v>
      </c>
      <c r="G35" s="31">
        <v>0.01</v>
      </c>
      <c r="H35" s="29">
        <v>0</v>
      </c>
      <c r="I35" s="30">
        <v>0</v>
      </c>
      <c r="J35" s="30">
        <v>0</v>
      </c>
      <c r="K35" s="30">
        <v>0</v>
      </c>
      <c r="L35" s="30">
        <v>0</v>
      </c>
      <c r="M35" s="30">
        <v>0</v>
      </c>
      <c r="N35" s="30">
        <v>0</v>
      </c>
      <c r="O35" s="30">
        <v>0</v>
      </c>
      <c r="P35" s="30">
        <v>0</v>
      </c>
      <c r="Q35" s="30">
        <v>0</v>
      </c>
      <c r="R35" s="30">
        <v>0</v>
      </c>
      <c r="S35" s="30">
        <v>0</v>
      </c>
      <c r="T35" s="30">
        <v>0</v>
      </c>
      <c r="U35" s="31">
        <v>0</v>
      </c>
    </row>
    <row r="36" spans="1:21" x14ac:dyDescent="0.2">
      <c r="A36" s="15"/>
    </row>
  </sheetData>
  <sortState xmlns:xlrd2="http://schemas.microsoft.com/office/spreadsheetml/2017/richdata2" ref="A3:U35">
    <sortCondition ref="A3:A35"/>
  </sortState>
  <mergeCells count="2">
    <mergeCell ref="B1:G1"/>
    <mergeCell ref="H1:U1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32"/>
  <sheetViews>
    <sheetView workbookViewId="0"/>
  </sheetViews>
  <sheetFormatPr baseColWidth="10" defaultColWidth="9.1640625" defaultRowHeight="13" x14ac:dyDescent="0.15"/>
  <cols>
    <col min="1" max="1" width="81.5" style="1" customWidth="1"/>
    <col min="2" max="21" width="9.83203125" style="1" customWidth="1"/>
    <col min="22" max="16384" width="9.1640625" style="1"/>
  </cols>
  <sheetData>
    <row r="1" spans="1:21" s="21" customFormat="1" ht="18" x14ac:dyDescent="0.2">
      <c r="B1" s="85" t="s">
        <v>26</v>
      </c>
      <c r="C1" s="86"/>
      <c r="D1" s="86"/>
      <c r="E1" s="86"/>
      <c r="F1" s="86"/>
      <c r="G1" s="86"/>
      <c r="H1" s="85" t="s">
        <v>27</v>
      </c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7"/>
    </row>
    <row r="2" spans="1:21" s="3" customFormat="1" ht="18" x14ac:dyDescent="0.2">
      <c r="A2" s="42" t="s">
        <v>100</v>
      </c>
      <c r="B2" s="35" t="s">
        <v>1</v>
      </c>
      <c r="C2" s="36" t="s">
        <v>2</v>
      </c>
      <c r="D2" s="36" t="s">
        <v>3</v>
      </c>
      <c r="E2" s="36" t="s">
        <v>4</v>
      </c>
      <c r="F2" s="36" t="s">
        <v>5</v>
      </c>
      <c r="G2" s="37" t="s">
        <v>6</v>
      </c>
      <c r="H2" s="35" t="s">
        <v>7</v>
      </c>
      <c r="I2" s="36" t="s">
        <v>8</v>
      </c>
      <c r="J2" s="36" t="s">
        <v>9</v>
      </c>
      <c r="K2" s="36" t="s">
        <v>10</v>
      </c>
      <c r="L2" s="36" t="s">
        <v>11</v>
      </c>
      <c r="M2" s="36" t="s">
        <v>12</v>
      </c>
      <c r="N2" s="36" t="s">
        <v>13</v>
      </c>
      <c r="O2" s="36" t="s">
        <v>14</v>
      </c>
      <c r="P2" s="36" t="s">
        <v>15</v>
      </c>
      <c r="Q2" s="36" t="s">
        <v>16</v>
      </c>
      <c r="R2" s="36" t="s">
        <v>17</v>
      </c>
      <c r="S2" s="36" t="s">
        <v>18</v>
      </c>
      <c r="T2" s="36" t="s">
        <v>19</v>
      </c>
      <c r="U2" s="37" t="s">
        <v>20</v>
      </c>
    </row>
    <row r="3" spans="1:21" ht="18" x14ac:dyDescent="0.2">
      <c r="A3" s="13" t="s">
        <v>101</v>
      </c>
      <c r="B3" s="25">
        <v>0</v>
      </c>
      <c r="C3" s="6">
        <v>5.2</v>
      </c>
      <c r="D3" s="6">
        <v>0</v>
      </c>
      <c r="E3" s="6">
        <v>1.2</v>
      </c>
      <c r="F3" s="6">
        <v>0</v>
      </c>
      <c r="G3" s="26">
        <v>0</v>
      </c>
      <c r="H3" s="25">
        <v>0</v>
      </c>
      <c r="I3" s="6">
        <v>0</v>
      </c>
      <c r="J3" s="6">
        <v>0</v>
      </c>
      <c r="K3" s="6">
        <v>0</v>
      </c>
      <c r="L3" s="6">
        <v>0</v>
      </c>
      <c r="M3" s="6">
        <v>0</v>
      </c>
      <c r="N3" s="6">
        <v>0</v>
      </c>
      <c r="O3" s="6">
        <v>0</v>
      </c>
      <c r="P3" s="6">
        <v>0</v>
      </c>
      <c r="Q3" s="6">
        <v>0</v>
      </c>
      <c r="R3" s="6">
        <v>0</v>
      </c>
      <c r="S3" s="6">
        <v>0</v>
      </c>
      <c r="T3" s="6">
        <v>0</v>
      </c>
      <c r="U3" s="26">
        <v>0</v>
      </c>
    </row>
    <row r="4" spans="1:21" ht="18" x14ac:dyDescent="0.2">
      <c r="A4" s="13" t="s">
        <v>145</v>
      </c>
      <c r="B4" s="25">
        <f>0.8/2</f>
        <v>0.4</v>
      </c>
      <c r="C4" s="6">
        <v>0</v>
      </c>
      <c r="D4" s="6">
        <f>0.32/2</f>
        <v>0.16</v>
      </c>
      <c r="E4" s="6">
        <v>0</v>
      </c>
      <c r="F4" s="6">
        <v>0</v>
      </c>
      <c r="G4" s="26">
        <v>0</v>
      </c>
      <c r="H4" s="25">
        <v>0</v>
      </c>
      <c r="I4" s="6">
        <f>13.48/2</f>
        <v>6.74</v>
      </c>
      <c r="J4" s="6">
        <f>6.6/2</f>
        <v>3.3</v>
      </c>
      <c r="K4" s="6">
        <f>1.36/2</f>
        <v>0.68</v>
      </c>
      <c r="L4" s="6">
        <v>0</v>
      </c>
      <c r="M4" s="6">
        <f>23.92/2</f>
        <v>11.96</v>
      </c>
      <c r="N4" s="6">
        <f>55.36/2</f>
        <v>27.68</v>
      </c>
      <c r="O4" s="6">
        <f>20.84/2</f>
        <v>10.42</v>
      </c>
      <c r="P4" s="6">
        <f>28.36/2</f>
        <v>14.18</v>
      </c>
      <c r="Q4" s="6">
        <v>0</v>
      </c>
      <c r="R4" s="6">
        <f>1.52/2</f>
        <v>0.76</v>
      </c>
      <c r="S4" s="6">
        <f>10.92/2</f>
        <v>5.46</v>
      </c>
      <c r="T4" s="6">
        <f>6.4/2</f>
        <v>3.2</v>
      </c>
      <c r="U4" s="26">
        <v>0</v>
      </c>
    </row>
    <row r="5" spans="1:21" ht="18" x14ac:dyDescent="0.2">
      <c r="A5" s="13" t="s">
        <v>103</v>
      </c>
      <c r="B5" s="25">
        <v>1.32</v>
      </c>
      <c r="C5" s="6">
        <v>63.64</v>
      </c>
      <c r="D5" s="6">
        <v>0</v>
      </c>
      <c r="E5" s="6">
        <v>8.1999999999999993</v>
      </c>
      <c r="F5" s="6">
        <v>0</v>
      </c>
      <c r="G5" s="26">
        <v>0</v>
      </c>
      <c r="H5" s="25">
        <v>3.32</v>
      </c>
      <c r="I5" s="6">
        <v>7.6</v>
      </c>
      <c r="J5" s="6">
        <v>2.84</v>
      </c>
      <c r="K5" s="6">
        <v>0</v>
      </c>
      <c r="L5" s="6">
        <v>1</v>
      </c>
      <c r="M5" s="6">
        <v>0.4</v>
      </c>
      <c r="N5" s="6">
        <v>4.32</v>
      </c>
      <c r="O5" s="6">
        <v>0</v>
      </c>
      <c r="P5" s="6">
        <v>0</v>
      </c>
      <c r="Q5" s="6">
        <v>0.84</v>
      </c>
      <c r="R5" s="6">
        <v>0</v>
      </c>
      <c r="S5" s="6">
        <v>0</v>
      </c>
      <c r="T5" s="6">
        <v>0</v>
      </c>
      <c r="U5" s="26">
        <v>0</v>
      </c>
    </row>
    <row r="6" spans="1:21" ht="18" x14ac:dyDescent="0.2">
      <c r="A6" s="24" t="s">
        <v>95</v>
      </c>
      <c r="B6" s="25">
        <v>0</v>
      </c>
      <c r="C6" s="6">
        <v>0.92</v>
      </c>
      <c r="D6" s="6">
        <v>0</v>
      </c>
      <c r="E6" s="6">
        <v>1.6</v>
      </c>
      <c r="F6" s="6">
        <v>0</v>
      </c>
      <c r="G6" s="26">
        <v>0</v>
      </c>
      <c r="H6" s="25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0</v>
      </c>
      <c r="S6" s="6">
        <v>0</v>
      </c>
      <c r="T6" s="6">
        <v>0</v>
      </c>
      <c r="U6" s="26">
        <v>0</v>
      </c>
    </row>
    <row r="7" spans="1:21" ht="18" x14ac:dyDescent="0.2">
      <c r="A7" s="13" t="s">
        <v>137</v>
      </c>
      <c r="B7" s="25">
        <v>0</v>
      </c>
      <c r="C7" s="6">
        <v>0</v>
      </c>
      <c r="D7" s="6">
        <v>0</v>
      </c>
      <c r="E7" s="6">
        <v>0.01</v>
      </c>
      <c r="F7" s="6">
        <v>0</v>
      </c>
      <c r="G7" s="26">
        <v>0</v>
      </c>
      <c r="H7" s="25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0</v>
      </c>
      <c r="U7" s="26">
        <v>0</v>
      </c>
    </row>
    <row r="8" spans="1:21" ht="18" x14ac:dyDescent="0.2">
      <c r="A8" s="13" t="s">
        <v>104</v>
      </c>
      <c r="B8" s="25">
        <v>0</v>
      </c>
      <c r="C8" s="6">
        <v>0</v>
      </c>
      <c r="D8" s="6">
        <v>0</v>
      </c>
      <c r="E8" s="6">
        <v>0</v>
      </c>
      <c r="F8" s="6">
        <v>0</v>
      </c>
      <c r="G8" s="26">
        <v>0.01</v>
      </c>
      <c r="H8" s="25">
        <v>0</v>
      </c>
      <c r="I8" s="6">
        <v>0</v>
      </c>
      <c r="J8" s="6">
        <v>0.01</v>
      </c>
      <c r="K8" s="6">
        <v>0</v>
      </c>
      <c r="L8" s="6">
        <v>0</v>
      </c>
      <c r="M8" s="6">
        <v>0</v>
      </c>
      <c r="N8" s="6">
        <v>0</v>
      </c>
      <c r="O8" s="6">
        <v>0.01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26">
        <v>0</v>
      </c>
    </row>
    <row r="9" spans="1:21" ht="18" x14ac:dyDescent="0.2">
      <c r="A9" s="13" t="s">
        <v>138</v>
      </c>
      <c r="B9" s="25">
        <v>0</v>
      </c>
      <c r="C9" s="6">
        <v>1.24</v>
      </c>
      <c r="D9" s="6">
        <v>0</v>
      </c>
      <c r="E9" s="6">
        <v>501.92</v>
      </c>
      <c r="F9" s="6">
        <v>0</v>
      </c>
      <c r="G9" s="26">
        <v>0</v>
      </c>
      <c r="H9" s="25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26">
        <v>0</v>
      </c>
    </row>
    <row r="10" spans="1:21" ht="18" x14ac:dyDescent="0.2">
      <c r="A10" s="13" t="s">
        <v>139</v>
      </c>
      <c r="B10" s="25">
        <v>0</v>
      </c>
      <c r="C10" s="6">
        <v>0</v>
      </c>
      <c r="D10" s="6">
        <v>0</v>
      </c>
      <c r="E10" s="6">
        <v>0</v>
      </c>
      <c r="F10" s="6">
        <v>0</v>
      </c>
      <c r="G10" s="26">
        <v>0</v>
      </c>
      <c r="H10" s="25">
        <v>3.8</v>
      </c>
      <c r="I10" s="6">
        <v>4.92</v>
      </c>
      <c r="J10" s="6">
        <v>6.92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26">
        <v>0</v>
      </c>
    </row>
    <row r="11" spans="1:21" ht="18" x14ac:dyDescent="0.2">
      <c r="A11" s="13" t="s">
        <v>106</v>
      </c>
      <c r="B11" s="25">
        <v>0</v>
      </c>
      <c r="C11" s="6">
        <v>270</v>
      </c>
      <c r="D11" s="6">
        <v>0</v>
      </c>
      <c r="E11" s="6">
        <v>0</v>
      </c>
      <c r="F11" s="6">
        <v>0</v>
      </c>
      <c r="G11" s="26">
        <v>0</v>
      </c>
      <c r="H11" s="25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26">
        <v>0</v>
      </c>
    </row>
    <row r="12" spans="1:21" ht="18" x14ac:dyDescent="0.2">
      <c r="A12" s="13" t="s">
        <v>107</v>
      </c>
      <c r="B12" s="25">
        <v>0.4</v>
      </c>
      <c r="C12" s="6">
        <v>69.64</v>
      </c>
      <c r="D12" s="6">
        <v>2.96</v>
      </c>
      <c r="E12" s="6">
        <v>199.36</v>
      </c>
      <c r="F12" s="6">
        <v>0</v>
      </c>
      <c r="G12" s="26">
        <v>0</v>
      </c>
      <c r="H12" s="25">
        <v>0</v>
      </c>
      <c r="I12" s="6">
        <v>1.28</v>
      </c>
      <c r="J12" s="6">
        <v>0.01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  <c r="S12" s="6">
        <v>0</v>
      </c>
      <c r="T12" s="6">
        <v>0</v>
      </c>
      <c r="U12" s="26">
        <v>0</v>
      </c>
    </row>
    <row r="13" spans="1:21" ht="18" x14ac:dyDescent="0.2">
      <c r="A13" s="13" t="s">
        <v>109</v>
      </c>
      <c r="B13" s="25">
        <v>0.68</v>
      </c>
      <c r="C13" s="6">
        <v>0</v>
      </c>
      <c r="D13" s="6">
        <v>0</v>
      </c>
      <c r="E13" s="6">
        <v>0</v>
      </c>
      <c r="F13" s="6">
        <v>0</v>
      </c>
      <c r="G13" s="26">
        <v>0</v>
      </c>
      <c r="H13" s="25">
        <v>4.08</v>
      </c>
      <c r="I13" s="6">
        <v>1.8</v>
      </c>
      <c r="J13" s="6">
        <v>0.44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0</v>
      </c>
      <c r="U13" s="26">
        <v>0</v>
      </c>
    </row>
    <row r="14" spans="1:21" ht="18" x14ac:dyDescent="0.2">
      <c r="A14" s="13" t="s">
        <v>108</v>
      </c>
      <c r="B14" s="25">
        <v>0</v>
      </c>
      <c r="C14" s="6">
        <v>0</v>
      </c>
      <c r="D14" s="6">
        <v>0</v>
      </c>
      <c r="E14" s="6">
        <v>0</v>
      </c>
      <c r="F14" s="6">
        <v>17.440000000000001</v>
      </c>
      <c r="G14" s="26">
        <v>0</v>
      </c>
      <c r="H14" s="25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0.01</v>
      </c>
      <c r="T14" s="6">
        <v>0</v>
      </c>
      <c r="U14" s="26">
        <v>0</v>
      </c>
    </row>
    <row r="15" spans="1:21" ht="18" x14ac:dyDescent="0.2">
      <c r="A15" s="13" t="s">
        <v>110</v>
      </c>
      <c r="B15" s="25">
        <v>521.04</v>
      </c>
      <c r="C15" s="6">
        <v>428.04</v>
      </c>
      <c r="D15" s="6">
        <v>541</v>
      </c>
      <c r="E15" s="6">
        <v>7.6</v>
      </c>
      <c r="F15" s="6">
        <v>35.08</v>
      </c>
      <c r="G15" s="26">
        <v>1357.76</v>
      </c>
      <c r="H15" s="25">
        <v>446.8</v>
      </c>
      <c r="I15" s="6">
        <v>522.79999999999995</v>
      </c>
      <c r="J15" s="6">
        <v>784.8</v>
      </c>
      <c r="K15" s="6">
        <v>508.8</v>
      </c>
      <c r="L15" s="6">
        <v>466.52</v>
      </c>
      <c r="M15" s="6">
        <v>70.12</v>
      </c>
      <c r="N15" s="6">
        <v>547.64</v>
      </c>
      <c r="O15" s="6">
        <v>553.08000000000004</v>
      </c>
      <c r="P15" s="6">
        <v>30.64</v>
      </c>
      <c r="Q15" s="6">
        <v>329.6</v>
      </c>
      <c r="R15" s="6">
        <v>434.48</v>
      </c>
      <c r="S15" s="6">
        <v>404.2</v>
      </c>
      <c r="T15" s="6">
        <v>171</v>
      </c>
      <c r="U15" s="26">
        <v>725.84</v>
      </c>
    </row>
    <row r="16" spans="1:21" ht="18" x14ac:dyDescent="0.2">
      <c r="A16" s="13" t="s">
        <v>111</v>
      </c>
      <c r="B16" s="25">
        <v>0.28000000000000003</v>
      </c>
      <c r="C16" s="6">
        <v>2.04</v>
      </c>
      <c r="D16" s="6">
        <v>0</v>
      </c>
      <c r="E16" s="6">
        <v>0</v>
      </c>
      <c r="F16" s="6">
        <v>0</v>
      </c>
      <c r="G16" s="26">
        <v>0</v>
      </c>
      <c r="H16" s="25">
        <v>1.1200000000000001</v>
      </c>
      <c r="I16" s="6">
        <v>26.24</v>
      </c>
      <c r="J16" s="6">
        <v>0</v>
      </c>
      <c r="K16" s="6">
        <v>0</v>
      </c>
      <c r="L16" s="6">
        <v>0</v>
      </c>
      <c r="M16" s="6">
        <v>0</v>
      </c>
      <c r="N16" s="6">
        <v>4.24</v>
      </c>
      <c r="O16" s="6">
        <v>4.84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  <c r="U16" s="26">
        <v>0</v>
      </c>
    </row>
    <row r="17" spans="1:21" ht="18" x14ac:dyDescent="0.2">
      <c r="A17" s="13" t="s">
        <v>112</v>
      </c>
      <c r="B17" s="25">
        <f>1.72/2</f>
        <v>0.86</v>
      </c>
      <c r="C17" s="6">
        <f>1.12/2</f>
        <v>0.56000000000000005</v>
      </c>
      <c r="D17" s="6">
        <f>24.48/2</f>
        <v>12.24</v>
      </c>
      <c r="E17" s="6">
        <f>2.4/2</f>
        <v>1.2</v>
      </c>
      <c r="F17" s="6">
        <f>157.04/2</f>
        <v>78.52</v>
      </c>
      <c r="G17" s="26">
        <f>39.16/2</f>
        <v>19.579999999999998</v>
      </c>
      <c r="H17" s="25">
        <f>64.84/2</f>
        <v>32.42</v>
      </c>
      <c r="I17" s="6">
        <f>62.52/2</f>
        <v>31.26</v>
      </c>
      <c r="J17" s="6">
        <f>35.32/2</f>
        <v>17.66</v>
      </c>
      <c r="K17" s="6">
        <f>21.08/2</f>
        <v>10.54</v>
      </c>
      <c r="L17" s="6">
        <f>101.48/2</f>
        <v>50.74</v>
      </c>
      <c r="M17" s="6">
        <f>2.4/2</f>
        <v>1.2</v>
      </c>
      <c r="N17" s="6">
        <f>35.72/2</f>
        <v>17.86</v>
      </c>
      <c r="O17" s="6">
        <f>20.68/2</f>
        <v>10.34</v>
      </c>
      <c r="P17" s="6">
        <f>125.76/2</f>
        <v>62.88</v>
      </c>
      <c r="Q17" s="6">
        <f>62.64/2</f>
        <v>31.32</v>
      </c>
      <c r="R17" s="6">
        <f>81.92/2</f>
        <v>40.96</v>
      </c>
      <c r="S17" s="6">
        <f>10.24/2</f>
        <v>5.12</v>
      </c>
      <c r="T17" s="6">
        <f>80.68/2</f>
        <v>40.340000000000003</v>
      </c>
      <c r="U17" s="26">
        <v>0</v>
      </c>
    </row>
    <row r="18" spans="1:21" ht="18" x14ac:dyDescent="0.2">
      <c r="A18" s="13" t="s">
        <v>113</v>
      </c>
      <c r="B18" s="25">
        <v>0</v>
      </c>
      <c r="C18" s="6">
        <v>0</v>
      </c>
      <c r="D18" s="6">
        <v>0</v>
      </c>
      <c r="E18" s="6">
        <v>0</v>
      </c>
      <c r="F18" s="6">
        <v>0</v>
      </c>
      <c r="G18" s="26">
        <v>0</v>
      </c>
      <c r="H18" s="25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  <c r="S18" s="6">
        <v>379.6</v>
      </c>
      <c r="T18" s="6">
        <v>0</v>
      </c>
      <c r="U18" s="26">
        <v>7.36</v>
      </c>
    </row>
    <row r="19" spans="1:21" ht="18" x14ac:dyDescent="0.2">
      <c r="A19" s="13" t="s">
        <v>114</v>
      </c>
      <c r="B19" s="25">
        <f>1.72/2</f>
        <v>0.86</v>
      </c>
      <c r="C19" s="6">
        <f>1.12/2</f>
        <v>0.56000000000000005</v>
      </c>
      <c r="D19" s="6">
        <f>24.48/2</f>
        <v>12.24</v>
      </c>
      <c r="E19" s="6">
        <f>2.4/2</f>
        <v>1.2</v>
      </c>
      <c r="F19" s="6">
        <f>157.04/2</f>
        <v>78.52</v>
      </c>
      <c r="G19" s="26">
        <f>39.16/2</f>
        <v>19.579999999999998</v>
      </c>
      <c r="H19" s="25">
        <f>64.84/2</f>
        <v>32.42</v>
      </c>
      <c r="I19" s="6">
        <f>62.52/2</f>
        <v>31.26</v>
      </c>
      <c r="J19" s="6">
        <f>35.32/2</f>
        <v>17.66</v>
      </c>
      <c r="K19" s="6">
        <f>21.08/2</f>
        <v>10.54</v>
      </c>
      <c r="L19" s="6">
        <f>101.48/2</f>
        <v>50.74</v>
      </c>
      <c r="M19" s="6">
        <f>2.4/2</f>
        <v>1.2</v>
      </c>
      <c r="N19" s="6">
        <f>35.72/2</f>
        <v>17.86</v>
      </c>
      <c r="O19" s="6">
        <f>20.68/2</f>
        <v>10.34</v>
      </c>
      <c r="P19" s="6">
        <f>125.76/2</f>
        <v>62.88</v>
      </c>
      <c r="Q19" s="6">
        <f>62.64/2</f>
        <v>31.32</v>
      </c>
      <c r="R19" s="6">
        <f>81.92/2</f>
        <v>40.96</v>
      </c>
      <c r="S19" s="6">
        <f>10.24/2</f>
        <v>5.12</v>
      </c>
      <c r="T19" s="6">
        <f>80.68/2</f>
        <v>40.340000000000003</v>
      </c>
      <c r="U19" s="26">
        <v>0</v>
      </c>
    </row>
    <row r="20" spans="1:21" ht="18" x14ac:dyDescent="0.2">
      <c r="A20" s="13" t="s">
        <v>116</v>
      </c>
      <c r="B20" s="25">
        <v>0</v>
      </c>
      <c r="C20" s="6">
        <v>0.08</v>
      </c>
      <c r="D20" s="6">
        <v>0</v>
      </c>
      <c r="E20" s="6">
        <v>0</v>
      </c>
      <c r="F20" s="6">
        <v>0</v>
      </c>
      <c r="G20" s="26">
        <v>0</v>
      </c>
      <c r="H20" s="25">
        <v>7.48</v>
      </c>
      <c r="I20" s="6">
        <v>10.8</v>
      </c>
      <c r="J20" s="6">
        <v>3</v>
      </c>
      <c r="K20" s="6">
        <v>1.6</v>
      </c>
      <c r="L20" s="6">
        <v>0</v>
      </c>
      <c r="M20" s="6">
        <v>0.92</v>
      </c>
      <c r="N20" s="6">
        <v>0.01</v>
      </c>
      <c r="O20" s="6">
        <v>21</v>
      </c>
      <c r="P20" s="6">
        <v>0</v>
      </c>
      <c r="Q20" s="6">
        <v>0.2</v>
      </c>
      <c r="R20" s="6">
        <v>0</v>
      </c>
      <c r="S20" s="6">
        <v>0.8</v>
      </c>
      <c r="T20" s="6">
        <v>0</v>
      </c>
      <c r="U20" s="26">
        <v>0</v>
      </c>
    </row>
    <row r="21" spans="1:21" ht="18" x14ac:dyDescent="0.2">
      <c r="A21" s="13" t="s">
        <v>118</v>
      </c>
      <c r="B21" s="25">
        <v>0</v>
      </c>
      <c r="C21" s="6">
        <v>0.01</v>
      </c>
      <c r="D21" s="6">
        <v>0</v>
      </c>
      <c r="E21" s="6">
        <v>0</v>
      </c>
      <c r="F21" s="6">
        <v>0</v>
      </c>
      <c r="G21" s="26">
        <v>0</v>
      </c>
      <c r="H21" s="25">
        <v>0.01</v>
      </c>
      <c r="I21" s="6">
        <v>1.8</v>
      </c>
      <c r="J21" s="6">
        <v>0.12</v>
      </c>
      <c r="K21" s="6">
        <v>0</v>
      </c>
      <c r="L21" s="6">
        <v>0</v>
      </c>
      <c r="M21" s="6">
        <v>0</v>
      </c>
      <c r="N21" s="6">
        <v>0</v>
      </c>
      <c r="O21" s="6">
        <v>0</v>
      </c>
      <c r="P21" s="6">
        <v>0</v>
      </c>
      <c r="Q21" s="6">
        <v>0</v>
      </c>
      <c r="R21" s="6">
        <v>0</v>
      </c>
      <c r="S21" s="6">
        <v>0</v>
      </c>
      <c r="T21" s="6">
        <v>0</v>
      </c>
      <c r="U21" s="26">
        <v>0</v>
      </c>
    </row>
    <row r="22" spans="1:21" ht="18" x14ac:dyDescent="0.2">
      <c r="A22" s="13" t="s">
        <v>119</v>
      </c>
      <c r="B22" s="25">
        <v>0</v>
      </c>
      <c r="C22" s="6">
        <v>0</v>
      </c>
      <c r="D22" s="6">
        <v>0</v>
      </c>
      <c r="E22" s="6">
        <v>0</v>
      </c>
      <c r="F22" s="6">
        <v>6.68</v>
      </c>
      <c r="G22" s="26">
        <v>0.08</v>
      </c>
      <c r="H22" s="25">
        <v>0.01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  <c r="Q22" s="6">
        <v>0</v>
      </c>
      <c r="R22" s="6">
        <v>0</v>
      </c>
      <c r="S22" s="6">
        <v>0.01</v>
      </c>
      <c r="T22" s="6">
        <v>0</v>
      </c>
      <c r="U22" s="26">
        <v>0</v>
      </c>
    </row>
    <row r="23" spans="1:21" ht="18" x14ac:dyDescent="0.2">
      <c r="A23" s="13" t="s">
        <v>121</v>
      </c>
      <c r="B23" s="25">
        <v>0.12</v>
      </c>
      <c r="C23" s="6">
        <v>0.01</v>
      </c>
      <c r="D23" s="6">
        <v>0</v>
      </c>
      <c r="E23" s="6">
        <v>0</v>
      </c>
      <c r="F23" s="6">
        <v>0</v>
      </c>
      <c r="G23" s="26">
        <v>0</v>
      </c>
      <c r="H23" s="25">
        <v>1.1200000000000001</v>
      </c>
      <c r="I23" s="6">
        <v>3.2</v>
      </c>
      <c r="J23" s="6">
        <v>3.4</v>
      </c>
      <c r="K23" s="6">
        <v>0</v>
      </c>
      <c r="L23" s="6">
        <v>0</v>
      </c>
      <c r="M23" s="6">
        <v>19.84</v>
      </c>
      <c r="N23" s="6">
        <v>63.2</v>
      </c>
      <c r="O23" s="6">
        <v>54.68</v>
      </c>
      <c r="P23" s="6">
        <v>0</v>
      </c>
      <c r="Q23" s="6">
        <v>0</v>
      </c>
      <c r="R23" s="6">
        <v>0</v>
      </c>
      <c r="S23" s="6">
        <v>0</v>
      </c>
      <c r="T23" s="6">
        <v>0</v>
      </c>
      <c r="U23" s="26">
        <v>0</v>
      </c>
    </row>
    <row r="24" spans="1:21" ht="18" x14ac:dyDescent="0.2">
      <c r="A24" s="13" t="s">
        <v>144</v>
      </c>
      <c r="B24" s="25">
        <f>0.8/2</f>
        <v>0.4</v>
      </c>
      <c r="C24" s="6">
        <v>0</v>
      </c>
      <c r="D24" s="6">
        <f>0.32/2</f>
        <v>0.16</v>
      </c>
      <c r="E24" s="6">
        <v>0</v>
      </c>
      <c r="F24" s="6">
        <v>0</v>
      </c>
      <c r="G24" s="26">
        <v>0</v>
      </c>
      <c r="H24" s="25">
        <v>0</v>
      </c>
      <c r="I24" s="6">
        <f>13.48/2</f>
        <v>6.74</v>
      </c>
      <c r="J24" s="6">
        <f>6.6/2</f>
        <v>3.3</v>
      </c>
      <c r="K24" s="6">
        <f>1.36/2</f>
        <v>0.68</v>
      </c>
      <c r="L24" s="6">
        <v>0</v>
      </c>
      <c r="M24" s="6">
        <f>23.92/2</f>
        <v>11.96</v>
      </c>
      <c r="N24" s="6">
        <f>55.36/2</f>
        <v>27.68</v>
      </c>
      <c r="O24" s="6">
        <f>20.84/2</f>
        <v>10.42</v>
      </c>
      <c r="P24" s="6">
        <f>28.36/2</f>
        <v>14.18</v>
      </c>
      <c r="Q24" s="6">
        <v>0</v>
      </c>
      <c r="R24" s="6">
        <f>1.52/2</f>
        <v>0.76</v>
      </c>
      <c r="S24" s="6">
        <f>10.92/2</f>
        <v>5.46</v>
      </c>
      <c r="T24" s="6">
        <f>6.4/2</f>
        <v>3.2</v>
      </c>
      <c r="U24" s="26">
        <v>0</v>
      </c>
    </row>
    <row r="25" spans="1:21" ht="18" x14ac:dyDescent="0.2">
      <c r="A25" s="13" t="s">
        <v>123</v>
      </c>
      <c r="B25" s="25">
        <v>0.01</v>
      </c>
      <c r="C25" s="6">
        <v>0.92</v>
      </c>
      <c r="D25" s="6">
        <v>0</v>
      </c>
      <c r="E25" s="6">
        <v>0.16</v>
      </c>
      <c r="F25" s="6">
        <v>0</v>
      </c>
      <c r="G25" s="26">
        <v>0</v>
      </c>
      <c r="H25" s="25">
        <v>0.2</v>
      </c>
      <c r="I25" s="6">
        <v>13.6</v>
      </c>
      <c r="J25" s="6">
        <v>10.84</v>
      </c>
      <c r="K25" s="6">
        <v>0</v>
      </c>
      <c r="L25" s="6">
        <v>0</v>
      </c>
      <c r="M25" s="6">
        <v>0.8</v>
      </c>
      <c r="N25" s="6">
        <v>4.6399999999999997</v>
      </c>
      <c r="O25" s="6">
        <v>1.2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26">
        <v>0</v>
      </c>
    </row>
    <row r="26" spans="1:21" ht="18" x14ac:dyDescent="0.2">
      <c r="A26" s="4" t="s">
        <v>80</v>
      </c>
      <c r="B26" s="25">
        <v>0.28000000000000003</v>
      </c>
      <c r="C26" s="6">
        <v>0</v>
      </c>
      <c r="D26" s="6">
        <v>0</v>
      </c>
      <c r="E26" s="6">
        <v>0</v>
      </c>
      <c r="F26" s="6">
        <v>0</v>
      </c>
      <c r="G26" s="26">
        <v>0</v>
      </c>
      <c r="H26" s="25">
        <v>23.56</v>
      </c>
      <c r="I26" s="6">
        <v>70</v>
      </c>
      <c r="J26" s="6">
        <v>37.200000000000003</v>
      </c>
      <c r="K26" s="6">
        <v>0</v>
      </c>
      <c r="L26" s="6">
        <v>0</v>
      </c>
      <c r="M26" s="6">
        <v>0</v>
      </c>
      <c r="N26" s="6">
        <v>0</v>
      </c>
      <c r="O26" s="6">
        <v>0</v>
      </c>
      <c r="P26" s="6">
        <v>0</v>
      </c>
      <c r="Q26" s="6">
        <v>0</v>
      </c>
      <c r="R26" s="6">
        <v>4.92</v>
      </c>
      <c r="S26" s="6">
        <v>137.4</v>
      </c>
      <c r="T26" s="6">
        <v>0</v>
      </c>
      <c r="U26" s="26">
        <v>0</v>
      </c>
    </row>
    <row r="27" spans="1:21" ht="18" x14ac:dyDescent="0.2">
      <c r="A27" s="13" t="s">
        <v>140</v>
      </c>
      <c r="B27" s="25">
        <v>0</v>
      </c>
      <c r="C27" s="6">
        <v>0</v>
      </c>
      <c r="D27" s="6">
        <v>0</v>
      </c>
      <c r="E27" s="6">
        <v>0</v>
      </c>
      <c r="F27" s="6">
        <v>95.2</v>
      </c>
      <c r="G27" s="26">
        <v>16.12</v>
      </c>
      <c r="H27" s="25">
        <v>0</v>
      </c>
      <c r="I27" s="6">
        <v>0</v>
      </c>
      <c r="J27" s="6">
        <v>1.1200000000000001</v>
      </c>
      <c r="K27" s="6">
        <v>0</v>
      </c>
      <c r="L27" s="6">
        <v>6.96</v>
      </c>
      <c r="M27" s="6">
        <v>0</v>
      </c>
      <c r="N27" s="6">
        <v>0</v>
      </c>
      <c r="O27" s="6">
        <v>0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26">
        <v>0</v>
      </c>
    </row>
    <row r="28" spans="1:21" ht="18" x14ac:dyDescent="0.2">
      <c r="A28" s="13" t="s">
        <v>124</v>
      </c>
      <c r="B28" s="25">
        <v>0</v>
      </c>
      <c r="C28" s="6">
        <v>0</v>
      </c>
      <c r="D28" s="6">
        <v>0</v>
      </c>
      <c r="E28" s="6">
        <v>0</v>
      </c>
      <c r="F28" s="6">
        <v>0</v>
      </c>
      <c r="G28" s="26">
        <v>0</v>
      </c>
      <c r="H28" s="25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  <c r="Q28" s="6">
        <v>0</v>
      </c>
      <c r="R28" s="6">
        <v>0.48</v>
      </c>
      <c r="S28" s="6">
        <v>0</v>
      </c>
      <c r="T28" s="6">
        <v>0</v>
      </c>
      <c r="U28" s="26">
        <v>0</v>
      </c>
    </row>
    <row r="29" spans="1:21" ht="18" x14ac:dyDescent="0.2">
      <c r="A29" s="13" t="s">
        <v>125</v>
      </c>
      <c r="B29" s="25">
        <v>0</v>
      </c>
      <c r="C29" s="6">
        <v>0</v>
      </c>
      <c r="D29" s="6">
        <v>0</v>
      </c>
      <c r="E29" s="6">
        <v>0</v>
      </c>
      <c r="F29" s="6">
        <v>0</v>
      </c>
      <c r="G29" s="26">
        <v>0</v>
      </c>
      <c r="H29" s="25">
        <v>26.4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26">
        <v>0</v>
      </c>
    </row>
    <row r="30" spans="1:21" ht="18" x14ac:dyDescent="0.2">
      <c r="A30" s="13" t="s">
        <v>141</v>
      </c>
      <c r="B30" s="25">
        <v>0</v>
      </c>
      <c r="C30" s="6">
        <v>0</v>
      </c>
      <c r="D30" s="6">
        <v>0</v>
      </c>
      <c r="E30" s="6">
        <v>0</v>
      </c>
      <c r="F30" s="6">
        <v>0</v>
      </c>
      <c r="G30" s="26">
        <v>0</v>
      </c>
      <c r="H30" s="25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0</v>
      </c>
      <c r="P30" s="6">
        <v>0</v>
      </c>
      <c r="Q30" s="6">
        <v>34.840000000000003</v>
      </c>
      <c r="R30" s="6">
        <v>0</v>
      </c>
      <c r="S30" s="6">
        <v>0</v>
      </c>
      <c r="T30" s="6">
        <v>0</v>
      </c>
      <c r="U30" s="26">
        <v>0</v>
      </c>
    </row>
    <row r="31" spans="1:21" ht="18" x14ac:dyDescent="0.2">
      <c r="A31" s="13" t="s">
        <v>142</v>
      </c>
      <c r="B31" s="25">
        <v>0</v>
      </c>
      <c r="C31" s="6">
        <v>0</v>
      </c>
      <c r="D31" s="6">
        <v>0</v>
      </c>
      <c r="E31" s="6">
        <v>0</v>
      </c>
      <c r="F31" s="6">
        <v>0</v>
      </c>
      <c r="G31" s="26">
        <v>0</v>
      </c>
      <c r="H31" s="25">
        <v>0</v>
      </c>
      <c r="I31" s="6">
        <v>0</v>
      </c>
      <c r="J31" s="6">
        <v>0</v>
      </c>
      <c r="K31" s="6">
        <v>4.4400000000000004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26">
        <v>0</v>
      </c>
    </row>
    <row r="32" spans="1:21" ht="18" x14ac:dyDescent="0.2">
      <c r="A32" s="13" t="s">
        <v>143</v>
      </c>
      <c r="B32" s="29">
        <v>0</v>
      </c>
      <c r="C32" s="30">
        <v>4</v>
      </c>
      <c r="D32" s="30">
        <v>0</v>
      </c>
      <c r="E32" s="30">
        <v>0</v>
      </c>
      <c r="F32" s="30">
        <v>0</v>
      </c>
      <c r="G32" s="31">
        <v>0</v>
      </c>
      <c r="H32" s="29">
        <v>0</v>
      </c>
      <c r="I32" s="30">
        <v>0</v>
      </c>
      <c r="J32" s="30">
        <v>0</v>
      </c>
      <c r="K32" s="30">
        <v>0</v>
      </c>
      <c r="L32" s="30">
        <v>0</v>
      </c>
      <c r="M32" s="30">
        <v>0</v>
      </c>
      <c r="N32" s="30">
        <v>0</v>
      </c>
      <c r="O32" s="30">
        <v>0</v>
      </c>
      <c r="P32" s="30">
        <v>0</v>
      </c>
      <c r="Q32" s="30">
        <v>0</v>
      </c>
      <c r="R32" s="30">
        <v>0</v>
      </c>
      <c r="S32" s="30">
        <v>0</v>
      </c>
      <c r="T32" s="30">
        <v>0</v>
      </c>
      <c r="U32" s="31">
        <v>0</v>
      </c>
    </row>
  </sheetData>
  <sortState xmlns:xlrd2="http://schemas.microsoft.com/office/spreadsheetml/2017/richdata2" ref="A3:U32">
    <sortCondition ref="A3:A32"/>
  </sortState>
  <mergeCells count="2">
    <mergeCell ref="B1:G1"/>
    <mergeCell ref="H1:U1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G57"/>
  <sheetViews>
    <sheetView workbookViewId="0">
      <selection activeCell="V24" sqref="V24"/>
    </sheetView>
  </sheetViews>
  <sheetFormatPr baseColWidth="10" defaultColWidth="8.83203125" defaultRowHeight="13" x14ac:dyDescent="0.15"/>
  <cols>
    <col min="1" max="1" width="79.6640625" style="2" customWidth="1"/>
    <col min="2" max="21" width="9.83203125" style="2" customWidth="1"/>
    <col min="22" max="22" width="6.6640625" style="2" customWidth="1"/>
    <col min="23" max="23" width="6.5" style="2" customWidth="1"/>
    <col min="24" max="24" width="7.33203125" style="2" customWidth="1"/>
    <col min="25" max="26" width="8.83203125" style="2" customWidth="1"/>
    <col min="27" max="27" width="6.5" style="2" customWidth="1"/>
    <col min="28" max="28" width="7" style="2" customWidth="1"/>
    <col min="29" max="29" width="6.33203125" style="2" customWidth="1"/>
    <col min="30" max="30" width="7.6640625" style="2" customWidth="1"/>
    <col min="31" max="31" width="9" style="2" customWidth="1"/>
    <col min="32" max="34" width="8.5" style="2" customWidth="1"/>
    <col min="35" max="16384" width="8.83203125" style="2"/>
  </cols>
  <sheetData>
    <row r="1" spans="1:33" s="45" customFormat="1" ht="18" x14ac:dyDescent="0.2">
      <c r="B1" s="90" t="s">
        <v>26</v>
      </c>
      <c r="C1" s="91"/>
      <c r="D1" s="91"/>
      <c r="E1" s="91"/>
      <c r="F1" s="91"/>
      <c r="G1" s="92"/>
      <c r="H1" s="90" t="s">
        <v>27</v>
      </c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2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</row>
    <row r="2" spans="1:33" s="45" customFormat="1" ht="18" x14ac:dyDescent="0.2">
      <c r="A2" s="17" t="s">
        <v>0</v>
      </c>
      <c r="B2" s="48" t="s">
        <v>1</v>
      </c>
      <c r="C2" s="49" t="s">
        <v>2</v>
      </c>
      <c r="D2" s="49" t="s">
        <v>3</v>
      </c>
      <c r="E2" s="49" t="s">
        <v>4</v>
      </c>
      <c r="F2" s="49" t="s">
        <v>5</v>
      </c>
      <c r="G2" s="50" t="s">
        <v>6</v>
      </c>
      <c r="H2" s="49" t="s">
        <v>7</v>
      </c>
      <c r="I2" s="49" t="s">
        <v>8</v>
      </c>
      <c r="J2" s="49" t="s">
        <v>9</v>
      </c>
      <c r="K2" s="49" t="s">
        <v>10</v>
      </c>
      <c r="L2" s="49" t="s">
        <v>11</v>
      </c>
      <c r="M2" s="49" t="s">
        <v>12</v>
      </c>
      <c r="N2" s="49" t="s">
        <v>13</v>
      </c>
      <c r="O2" s="49" t="s">
        <v>14</v>
      </c>
      <c r="P2" s="49" t="s">
        <v>15</v>
      </c>
      <c r="Q2" s="49" t="s">
        <v>16</v>
      </c>
      <c r="R2" s="49" t="s">
        <v>17</v>
      </c>
      <c r="S2" s="49" t="s">
        <v>18</v>
      </c>
      <c r="T2" s="49" t="s">
        <v>19</v>
      </c>
      <c r="U2" s="50" t="s">
        <v>20</v>
      </c>
    </row>
    <row r="3" spans="1:33" s="45" customFormat="1" ht="18" x14ac:dyDescent="0.2">
      <c r="A3" s="13" t="s">
        <v>101</v>
      </c>
      <c r="B3" s="51">
        <v>2.8</v>
      </c>
      <c r="C3" s="47">
        <v>0</v>
      </c>
      <c r="D3" s="47">
        <v>21.76</v>
      </c>
      <c r="E3" s="47">
        <v>0</v>
      </c>
      <c r="F3" s="47">
        <v>0</v>
      </c>
      <c r="G3" s="52">
        <v>0</v>
      </c>
      <c r="H3" s="47">
        <v>0</v>
      </c>
      <c r="I3" s="47">
        <v>0</v>
      </c>
      <c r="J3" s="47">
        <v>0</v>
      </c>
      <c r="K3" s="47">
        <v>0</v>
      </c>
      <c r="L3" s="47">
        <v>0</v>
      </c>
      <c r="M3" s="47">
        <v>0</v>
      </c>
      <c r="N3" s="47">
        <v>0</v>
      </c>
      <c r="O3" s="47">
        <v>0</v>
      </c>
      <c r="P3" s="47">
        <v>0</v>
      </c>
      <c r="Q3" s="47">
        <v>0</v>
      </c>
      <c r="R3" s="47">
        <v>0</v>
      </c>
      <c r="S3" s="47">
        <v>0</v>
      </c>
      <c r="T3" s="47">
        <v>0</v>
      </c>
      <c r="U3" s="52">
        <v>0</v>
      </c>
    </row>
    <row r="4" spans="1:33" s="45" customFormat="1" ht="18" x14ac:dyDescent="0.2">
      <c r="A4" s="13" t="s">
        <v>151</v>
      </c>
      <c r="B4" s="51">
        <v>0</v>
      </c>
      <c r="C4" s="47">
        <v>0</v>
      </c>
      <c r="D4" s="47">
        <f>2.72/2</f>
        <v>1.36</v>
      </c>
      <c r="E4" s="47">
        <v>0</v>
      </c>
      <c r="F4" s="47">
        <v>0</v>
      </c>
      <c r="G4" s="52">
        <v>0</v>
      </c>
      <c r="H4" s="47">
        <f>3.6/2</f>
        <v>1.8</v>
      </c>
      <c r="I4" s="47">
        <f>3.68/2</f>
        <v>1.84</v>
      </c>
      <c r="J4" s="47">
        <f>64.48/2</f>
        <v>32.24</v>
      </c>
      <c r="K4" s="47">
        <f>0.8/2</f>
        <v>0.4</v>
      </c>
      <c r="L4" s="47">
        <v>0</v>
      </c>
      <c r="M4" s="47">
        <f>64.72/2</f>
        <v>32.36</v>
      </c>
      <c r="N4" s="47">
        <v>0</v>
      </c>
      <c r="O4" s="47">
        <f>1.16/2</f>
        <v>0.57999999999999996</v>
      </c>
      <c r="P4" s="47">
        <f>97/2</f>
        <v>48.5</v>
      </c>
      <c r="Q4" s="47">
        <f>60.56/2</f>
        <v>30.28</v>
      </c>
      <c r="R4" s="47">
        <f>12.6/2</f>
        <v>6.3</v>
      </c>
      <c r="S4" s="47">
        <f>105/2</f>
        <v>52.5</v>
      </c>
      <c r="T4" s="47">
        <f>29.68/2</f>
        <v>14.84</v>
      </c>
      <c r="U4" s="52">
        <f>2.88/2</f>
        <v>1.44</v>
      </c>
    </row>
    <row r="5" spans="1:33" s="45" customFormat="1" ht="18" x14ac:dyDescent="0.2">
      <c r="A5" s="13" t="s">
        <v>103</v>
      </c>
      <c r="B5" s="51">
        <v>3.76</v>
      </c>
      <c r="C5" s="47">
        <v>0.8</v>
      </c>
      <c r="D5" s="47">
        <v>0</v>
      </c>
      <c r="E5" s="47">
        <v>20.68</v>
      </c>
      <c r="F5" s="47">
        <v>0</v>
      </c>
      <c r="G5" s="52">
        <v>0</v>
      </c>
      <c r="H5" s="47">
        <v>0</v>
      </c>
      <c r="I5" s="47">
        <v>0</v>
      </c>
      <c r="J5" s="47">
        <v>0</v>
      </c>
      <c r="K5" s="47">
        <v>0</v>
      </c>
      <c r="L5" s="47">
        <v>0</v>
      </c>
      <c r="M5" s="47">
        <v>0.01</v>
      </c>
      <c r="N5" s="47">
        <v>0</v>
      </c>
      <c r="O5" s="47">
        <v>6.4</v>
      </c>
      <c r="P5" s="47">
        <v>1.32</v>
      </c>
      <c r="Q5" s="47">
        <v>0</v>
      </c>
      <c r="R5" s="47">
        <v>2.2000000000000002</v>
      </c>
      <c r="S5" s="47">
        <v>0</v>
      </c>
      <c r="T5" s="47">
        <v>0</v>
      </c>
      <c r="U5" s="52">
        <v>0</v>
      </c>
    </row>
    <row r="6" spans="1:33" s="45" customFormat="1" ht="18" x14ac:dyDescent="0.2">
      <c r="A6" s="13" t="s">
        <v>104</v>
      </c>
      <c r="B6" s="51">
        <v>0.01</v>
      </c>
      <c r="C6" s="47">
        <v>0</v>
      </c>
      <c r="D6" s="47">
        <v>0</v>
      </c>
      <c r="E6" s="47">
        <v>0.01</v>
      </c>
      <c r="F6" s="47">
        <v>0.01</v>
      </c>
      <c r="G6" s="52">
        <v>0.01</v>
      </c>
      <c r="H6" s="47">
        <v>0</v>
      </c>
      <c r="I6" s="47">
        <v>0</v>
      </c>
      <c r="J6" s="47">
        <v>0</v>
      </c>
      <c r="K6" s="47">
        <v>0</v>
      </c>
      <c r="L6" s="47">
        <v>0</v>
      </c>
      <c r="M6" s="47">
        <v>0</v>
      </c>
      <c r="N6" s="47">
        <v>0</v>
      </c>
      <c r="O6" s="47">
        <v>0</v>
      </c>
      <c r="P6" s="47">
        <v>0</v>
      </c>
      <c r="Q6" s="47">
        <v>0</v>
      </c>
      <c r="R6" s="47">
        <v>0</v>
      </c>
      <c r="S6" s="47">
        <v>0</v>
      </c>
      <c r="T6" s="47">
        <v>0.01</v>
      </c>
      <c r="U6" s="52">
        <v>0</v>
      </c>
    </row>
    <row r="7" spans="1:33" s="45" customFormat="1" ht="18" x14ac:dyDescent="0.2">
      <c r="A7" s="13" t="s">
        <v>139</v>
      </c>
      <c r="B7" s="51">
        <v>0</v>
      </c>
      <c r="C7" s="47">
        <v>0</v>
      </c>
      <c r="D7" s="47">
        <v>0</v>
      </c>
      <c r="E7" s="47">
        <v>0</v>
      </c>
      <c r="F7" s="47">
        <v>0</v>
      </c>
      <c r="G7" s="52">
        <v>0.01</v>
      </c>
      <c r="H7" s="47">
        <v>0</v>
      </c>
      <c r="I7" s="47">
        <v>0</v>
      </c>
      <c r="J7" s="47">
        <v>0</v>
      </c>
      <c r="K7" s="47">
        <v>0</v>
      </c>
      <c r="L7" s="47">
        <v>0</v>
      </c>
      <c r="M7" s="47">
        <v>0</v>
      </c>
      <c r="N7" s="47">
        <v>0</v>
      </c>
      <c r="O7" s="47">
        <v>0</v>
      </c>
      <c r="P7" s="47">
        <v>0</v>
      </c>
      <c r="Q7" s="47">
        <v>0</v>
      </c>
      <c r="R7" s="47">
        <v>0</v>
      </c>
      <c r="S7" s="47">
        <v>0</v>
      </c>
      <c r="T7" s="47">
        <v>0</v>
      </c>
      <c r="U7" s="52">
        <v>0</v>
      </c>
    </row>
    <row r="8" spans="1:33" s="45" customFormat="1" ht="18" x14ac:dyDescent="0.2">
      <c r="A8" s="13" t="s">
        <v>106</v>
      </c>
      <c r="B8" s="51">
        <v>0.4</v>
      </c>
      <c r="C8" s="47">
        <v>312.8</v>
      </c>
      <c r="D8" s="47">
        <v>0</v>
      </c>
      <c r="E8" s="47">
        <v>153.44</v>
      </c>
      <c r="F8" s="47">
        <v>0</v>
      </c>
      <c r="G8" s="52">
        <v>0</v>
      </c>
      <c r="H8" s="47">
        <v>0</v>
      </c>
      <c r="I8" s="47">
        <v>0</v>
      </c>
      <c r="J8" s="47">
        <v>0</v>
      </c>
      <c r="K8" s="47">
        <v>0</v>
      </c>
      <c r="L8" s="47">
        <v>0</v>
      </c>
      <c r="M8" s="47">
        <v>0</v>
      </c>
      <c r="N8" s="47">
        <v>0</v>
      </c>
      <c r="O8" s="47">
        <v>0</v>
      </c>
      <c r="P8" s="47">
        <v>0</v>
      </c>
      <c r="Q8" s="47">
        <v>0</v>
      </c>
      <c r="R8" s="47">
        <v>0</v>
      </c>
      <c r="S8" s="47">
        <v>0</v>
      </c>
      <c r="T8" s="47">
        <v>0</v>
      </c>
      <c r="U8" s="52">
        <v>0</v>
      </c>
    </row>
    <row r="9" spans="1:33" s="45" customFormat="1" ht="18" x14ac:dyDescent="0.2">
      <c r="A9" s="13" t="s">
        <v>107</v>
      </c>
      <c r="B9" s="51">
        <v>226.84</v>
      </c>
      <c r="C9" s="47">
        <v>158.44</v>
      </c>
      <c r="D9" s="47">
        <v>0.01</v>
      </c>
      <c r="E9" s="47">
        <v>79.44</v>
      </c>
      <c r="F9" s="47">
        <v>0</v>
      </c>
      <c r="G9" s="52">
        <v>0</v>
      </c>
      <c r="H9" s="47">
        <v>0</v>
      </c>
      <c r="I9" s="47">
        <v>0</v>
      </c>
      <c r="J9" s="47">
        <v>0</v>
      </c>
      <c r="K9" s="47">
        <v>0</v>
      </c>
      <c r="L9" s="47">
        <v>0</v>
      </c>
      <c r="M9" s="47">
        <v>0</v>
      </c>
      <c r="N9" s="47">
        <v>0</v>
      </c>
      <c r="O9" s="47">
        <v>0</v>
      </c>
      <c r="P9" s="47">
        <v>0</v>
      </c>
      <c r="Q9" s="47">
        <v>0</v>
      </c>
      <c r="R9" s="47">
        <v>0</v>
      </c>
      <c r="S9" s="47">
        <v>0</v>
      </c>
      <c r="T9" s="47">
        <v>0</v>
      </c>
      <c r="U9" s="52">
        <v>0</v>
      </c>
    </row>
    <row r="10" spans="1:33" s="45" customFormat="1" ht="18" x14ac:dyDescent="0.2">
      <c r="A10" s="13" t="s">
        <v>109</v>
      </c>
      <c r="B10" s="51">
        <v>3.4</v>
      </c>
      <c r="C10" s="47">
        <v>0</v>
      </c>
      <c r="D10" s="47">
        <v>7.56</v>
      </c>
      <c r="E10" s="47">
        <v>0</v>
      </c>
      <c r="F10" s="47">
        <v>0</v>
      </c>
      <c r="G10" s="52">
        <v>0</v>
      </c>
      <c r="H10" s="47">
        <v>0</v>
      </c>
      <c r="I10" s="47">
        <v>0</v>
      </c>
      <c r="J10" s="47">
        <v>0</v>
      </c>
      <c r="K10" s="47">
        <v>0</v>
      </c>
      <c r="L10" s="47">
        <v>0</v>
      </c>
      <c r="M10" s="47">
        <v>0</v>
      </c>
      <c r="N10" s="47">
        <v>0</v>
      </c>
      <c r="O10" s="47">
        <v>0</v>
      </c>
      <c r="P10" s="47">
        <v>0</v>
      </c>
      <c r="Q10" s="47">
        <v>0</v>
      </c>
      <c r="R10" s="47">
        <v>0</v>
      </c>
      <c r="S10" s="47">
        <v>0</v>
      </c>
      <c r="T10" s="47">
        <v>0</v>
      </c>
      <c r="U10" s="52">
        <v>0</v>
      </c>
    </row>
    <row r="11" spans="1:33" s="45" customFormat="1" ht="18" x14ac:dyDescent="0.2">
      <c r="A11" s="13" t="s">
        <v>108</v>
      </c>
      <c r="B11" s="51">
        <v>0</v>
      </c>
      <c r="C11" s="47">
        <v>0</v>
      </c>
      <c r="D11" s="47">
        <v>0</v>
      </c>
      <c r="E11" s="47">
        <v>0</v>
      </c>
      <c r="F11" s="47">
        <v>2.92</v>
      </c>
      <c r="G11" s="52">
        <v>0</v>
      </c>
      <c r="H11" s="47">
        <v>0</v>
      </c>
      <c r="I11" s="47">
        <v>0</v>
      </c>
      <c r="J11" s="47">
        <v>0</v>
      </c>
      <c r="K11" s="47">
        <v>0</v>
      </c>
      <c r="L11" s="47">
        <v>0</v>
      </c>
      <c r="M11" s="47">
        <v>0</v>
      </c>
      <c r="N11" s="47">
        <v>0</v>
      </c>
      <c r="O11" s="47">
        <v>0</v>
      </c>
      <c r="P11" s="47">
        <v>0</v>
      </c>
      <c r="Q11" s="47">
        <v>0</v>
      </c>
      <c r="R11" s="47">
        <v>0</v>
      </c>
      <c r="S11" s="47">
        <v>0</v>
      </c>
      <c r="T11" s="47">
        <v>0</v>
      </c>
      <c r="U11" s="52">
        <v>0</v>
      </c>
    </row>
    <row r="12" spans="1:33" s="45" customFormat="1" ht="18" x14ac:dyDescent="0.2">
      <c r="A12" s="13" t="s">
        <v>110</v>
      </c>
      <c r="B12" s="51">
        <v>0</v>
      </c>
      <c r="C12" s="47">
        <v>0</v>
      </c>
      <c r="D12" s="47">
        <v>616.48</v>
      </c>
      <c r="E12" s="47">
        <v>100.68</v>
      </c>
      <c r="F12" s="47">
        <v>0</v>
      </c>
      <c r="G12" s="52">
        <v>0</v>
      </c>
      <c r="H12" s="47">
        <v>447.2</v>
      </c>
      <c r="I12" s="47">
        <v>265.83999999999997</v>
      </c>
      <c r="J12" s="47">
        <v>540.96</v>
      </c>
      <c r="K12" s="47">
        <v>0</v>
      </c>
      <c r="L12" s="47">
        <v>0</v>
      </c>
      <c r="M12" s="47">
        <v>502.24</v>
      </c>
      <c r="N12" s="47">
        <v>749.6</v>
      </c>
      <c r="O12" s="47">
        <v>770.32</v>
      </c>
      <c r="P12" s="47">
        <v>270.52</v>
      </c>
      <c r="Q12" s="47">
        <v>103.56</v>
      </c>
      <c r="R12" s="47">
        <v>1214.56</v>
      </c>
      <c r="S12" s="47">
        <v>216.64</v>
      </c>
      <c r="T12" s="47">
        <v>246.56</v>
      </c>
      <c r="U12" s="52">
        <v>206.16</v>
      </c>
    </row>
    <row r="13" spans="1:33" s="45" customFormat="1" ht="18" x14ac:dyDescent="0.2">
      <c r="A13" s="13" t="s">
        <v>111</v>
      </c>
      <c r="B13" s="51">
        <v>0</v>
      </c>
      <c r="C13" s="47">
        <v>0</v>
      </c>
      <c r="D13" s="47">
        <v>5.44</v>
      </c>
      <c r="E13" s="47">
        <v>0</v>
      </c>
      <c r="F13" s="47">
        <v>0</v>
      </c>
      <c r="G13" s="52">
        <v>0</v>
      </c>
      <c r="H13" s="47">
        <v>0</v>
      </c>
      <c r="I13" s="47">
        <v>0</v>
      </c>
      <c r="J13" s="47">
        <v>0</v>
      </c>
      <c r="K13" s="47">
        <v>0</v>
      </c>
      <c r="L13" s="47">
        <v>0</v>
      </c>
      <c r="M13" s="47">
        <v>0</v>
      </c>
      <c r="N13" s="47">
        <v>0</v>
      </c>
      <c r="O13" s="47">
        <v>0</v>
      </c>
      <c r="P13" s="47">
        <v>0</v>
      </c>
      <c r="Q13" s="47">
        <v>0</v>
      </c>
      <c r="R13" s="47">
        <v>0</v>
      </c>
      <c r="S13" s="47">
        <v>0</v>
      </c>
      <c r="T13" s="47">
        <v>0</v>
      </c>
      <c r="U13" s="52">
        <v>0</v>
      </c>
    </row>
    <row r="14" spans="1:33" s="45" customFormat="1" ht="18" x14ac:dyDescent="0.2">
      <c r="A14" s="13" t="s">
        <v>112</v>
      </c>
      <c r="B14" s="51">
        <f>18.08/2</f>
        <v>9.0399999999999991</v>
      </c>
      <c r="C14" s="47">
        <v>0</v>
      </c>
      <c r="D14" s="47">
        <f>0.48/2</f>
        <v>0.24</v>
      </c>
      <c r="E14" s="47">
        <v>0</v>
      </c>
      <c r="F14" s="47">
        <f>239.68/2</f>
        <v>119.84</v>
      </c>
      <c r="G14" s="52">
        <f>498/2</f>
        <v>249</v>
      </c>
      <c r="H14" s="47">
        <f>0.8/2</f>
        <v>0.4</v>
      </c>
      <c r="I14" s="47">
        <f>16.92/2</f>
        <v>8.4600000000000009</v>
      </c>
      <c r="J14" s="47">
        <f>2.56/2</f>
        <v>1.28</v>
      </c>
      <c r="K14" s="47">
        <v>0</v>
      </c>
      <c r="L14" s="47">
        <v>0</v>
      </c>
      <c r="M14" s="47">
        <f>64.88/2</f>
        <v>32.44</v>
      </c>
      <c r="N14" s="47">
        <f>42.28/2</f>
        <v>21.14</v>
      </c>
      <c r="O14" s="47">
        <f>67/2</f>
        <v>33.5</v>
      </c>
      <c r="P14" s="47">
        <f>23.32/2</f>
        <v>11.66</v>
      </c>
      <c r="Q14" s="47">
        <f>1.72/2</f>
        <v>0.86</v>
      </c>
      <c r="R14" s="47">
        <f>15.36/2</f>
        <v>7.68</v>
      </c>
      <c r="S14" s="47">
        <f>3.16/2</f>
        <v>1.58</v>
      </c>
      <c r="T14" s="47">
        <f>15.16/2</f>
        <v>7.58</v>
      </c>
      <c r="U14" s="52">
        <f>107.56/2</f>
        <v>53.78</v>
      </c>
    </row>
    <row r="15" spans="1:33" s="45" customFormat="1" ht="18" x14ac:dyDescent="0.2">
      <c r="A15" s="13" t="s">
        <v>113</v>
      </c>
      <c r="B15" s="51">
        <v>0</v>
      </c>
      <c r="C15" s="47">
        <v>0</v>
      </c>
      <c r="D15" s="47">
        <v>0</v>
      </c>
      <c r="E15" s="47">
        <v>0</v>
      </c>
      <c r="F15" s="47">
        <v>0</v>
      </c>
      <c r="G15" s="52">
        <v>0</v>
      </c>
      <c r="H15" s="47">
        <v>0</v>
      </c>
      <c r="I15" s="47">
        <v>0</v>
      </c>
      <c r="J15" s="47">
        <v>0</v>
      </c>
      <c r="K15" s="47">
        <v>0</v>
      </c>
      <c r="L15" s="47">
        <v>0</v>
      </c>
      <c r="M15" s="47">
        <v>0</v>
      </c>
      <c r="N15" s="47">
        <v>0</v>
      </c>
      <c r="O15" s="47">
        <v>0</v>
      </c>
      <c r="P15" s="47">
        <v>0</v>
      </c>
      <c r="Q15" s="47">
        <v>0</v>
      </c>
      <c r="R15" s="47">
        <v>0</v>
      </c>
      <c r="S15" s="47">
        <v>0</v>
      </c>
      <c r="T15" s="47">
        <v>0</v>
      </c>
      <c r="U15" s="52">
        <v>0</v>
      </c>
    </row>
    <row r="16" spans="1:33" s="45" customFormat="1" ht="18" x14ac:dyDescent="0.2">
      <c r="A16" s="13" t="s">
        <v>114</v>
      </c>
      <c r="B16" s="51">
        <f>18.08/2</f>
        <v>9.0399999999999991</v>
      </c>
      <c r="C16" s="47">
        <v>0</v>
      </c>
      <c r="D16" s="47">
        <f>0.48/2</f>
        <v>0.24</v>
      </c>
      <c r="E16" s="47">
        <v>0</v>
      </c>
      <c r="F16" s="47">
        <f>239.68/2</f>
        <v>119.84</v>
      </c>
      <c r="G16" s="52">
        <f>498/2</f>
        <v>249</v>
      </c>
      <c r="H16" s="47">
        <f>0.8/2</f>
        <v>0.4</v>
      </c>
      <c r="I16" s="47">
        <f>16.92/2</f>
        <v>8.4600000000000009</v>
      </c>
      <c r="J16" s="47">
        <f>2.56/2</f>
        <v>1.28</v>
      </c>
      <c r="K16" s="47">
        <v>0</v>
      </c>
      <c r="L16" s="47">
        <v>0</v>
      </c>
      <c r="M16" s="47">
        <f>64.88/2</f>
        <v>32.44</v>
      </c>
      <c r="N16" s="47">
        <f>42.28/2</f>
        <v>21.14</v>
      </c>
      <c r="O16" s="47">
        <f>67/2</f>
        <v>33.5</v>
      </c>
      <c r="P16" s="47">
        <f>23.32/2</f>
        <v>11.66</v>
      </c>
      <c r="Q16" s="47">
        <f>1.72/2</f>
        <v>0.86</v>
      </c>
      <c r="R16" s="47">
        <f>15.36/2</f>
        <v>7.68</v>
      </c>
      <c r="S16" s="47">
        <f>3.16/2</f>
        <v>1.58</v>
      </c>
      <c r="T16" s="47">
        <f>15.16/2</f>
        <v>7.58</v>
      </c>
      <c r="U16" s="52">
        <f>107.56/2</f>
        <v>53.78</v>
      </c>
    </row>
    <row r="17" spans="1:21" s="45" customFormat="1" ht="18" x14ac:dyDescent="0.2">
      <c r="A17" s="13" t="s">
        <v>116</v>
      </c>
      <c r="B17" s="51">
        <v>0</v>
      </c>
      <c r="C17" s="47">
        <v>0</v>
      </c>
      <c r="D17" s="47">
        <v>0</v>
      </c>
      <c r="E17" s="47">
        <v>0</v>
      </c>
      <c r="F17" s="47">
        <v>0</v>
      </c>
      <c r="G17" s="52">
        <v>0</v>
      </c>
      <c r="H17" s="47">
        <v>11</v>
      </c>
      <c r="I17" s="47">
        <v>2.12</v>
      </c>
      <c r="J17" s="47">
        <v>0.01</v>
      </c>
      <c r="K17" s="47">
        <v>18.8</v>
      </c>
      <c r="L17" s="47">
        <v>34.479999999999997</v>
      </c>
      <c r="M17" s="47">
        <v>0</v>
      </c>
      <c r="N17" s="47">
        <v>1.08</v>
      </c>
      <c r="O17" s="47">
        <v>0</v>
      </c>
      <c r="P17" s="47">
        <v>0.01</v>
      </c>
      <c r="Q17" s="47">
        <v>0.01</v>
      </c>
      <c r="R17" s="47">
        <v>0</v>
      </c>
      <c r="S17" s="47">
        <v>0</v>
      </c>
      <c r="T17" s="47">
        <v>0.01</v>
      </c>
      <c r="U17" s="52">
        <v>0</v>
      </c>
    </row>
    <row r="18" spans="1:21" s="45" customFormat="1" ht="18" x14ac:dyDescent="0.2">
      <c r="A18" s="13" t="s">
        <v>119</v>
      </c>
      <c r="B18" s="51">
        <v>0</v>
      </c>
      <c r="C18" s="47">
        <v>0</v>
      </c>
      <c r="D18" s="47">
        <v>0</v>
      </c>
      <c r="E18" s="47">
        <v>0</v>
      </c>
      <c r="F18" s="47">
        <v>80.239999999999995</v>
      </c>
      <c r="G18" s="52">
        <v>57.6</v>
      </c>
      <c r="H18" s="47">
        <v>0</v>
      </c>
      <c r="I18" s="47">
        <v>0</v>
      </c>
      <c r="J18" s="47">
        <v>0</v>
      </c>
      <c r="K18" s="47">
        <v>0</v>
      </c>
      <c r="L18" s="47">
        <v>0</v>
      </c>
      <c r="M18" s="47">
        <v>0</v>
      </c>
      <c r="N18" s="47">
        <v>0</v>
      </c>
      <c r="O18" s="47">
        <v>0</v>
      </c>
      <c r="P18" s="47">
        <v>0</v>
      </c>
      <c r="Q18" s="47">
        <v>0</v>
      </c>
      <c r="R18" s="47">
        <v>0</v>
      </c>
      <c r="S18" s="47">
        <v>0.01</v>
      </c>
      <c r="T18" s="47">
        <v>0</v>
      </c>
      <c r="U18" s="52">
        <v>0</v>
      </c>
    </row>
    <row r="19" spans="1:21" s="45" customFormat="1" ht="18" x14ac:dyDescent="0.2">
      <c r="A19" s="13" t="s">
        <v>152</v>
      </c>
      <c r="B19" s="51">
        <v>0</v>
      </c>
      <c r="C19" s="47">
        <v>0</v>
      </c>
      <c r="D19" s="47">
        <v>0</v>
      </c>
      <c r="E19" s="47">
        <v>0</v>
      </c>
      <c r="F19" s="47">
        <v>0</v>
      </c>
      <c r="G19" s="52">
        <v>0</v>
      </c>
      <c r="H19" s="47">
        <v>0</v>
      </c>
      <c r="I19" s="47">
        <v>0</v>
      </c>
      <c r="J19" s="47">
        <v>0</v>
      </c>
      <c r="K19" s="47">
        <v>0</v>
      </c>
      <c r="L19" s="47">
        <v>0.08</v>
      </c>
      <c r="M19" s="47">
        <v>0</v>
      </c>
      <c r="N19" s="47">
        <v>0</v>
      </c>
      <c r="O19" s="47">
        <v>0</v>
      </c>
      <c r="P19" s="47">
        <v>2</v>
      </c>
      <c r="Q19" s="47">
        <v>1.6</v>
      </c>
      <c r="R19" s="47">
        <v>0</v>
      </c>
      <c r="S19" s="47">
        <v>0</v>
      </c>
      <c r="T19" s="47">
        <v>0</v>
      </c>
      <c r="U19" s="52">
        <v>0</v>
      </c>
    </row>
    <row r="20" spans="1:21" s="45" customFormat="1" ht="18" x14ac:dyDescent="0.2">
      <c r="A20" s="13" t="s">
        <v>121</v>
      </c>
      <c r="B20" s="51">
        <v>1.32</v>
      </c>
      <c r="C20" s="47">
        <v>0</v>
      </c>
      <c r="D20" s="47">
        <v>0</v>
      </c>
      <c r="E20" s="47">
        <v>0</v>
      </c>
      <c r="F20" s="47">
        <v>0</v>
      </c>
      <c r="G20" s="52">
        <v>0</v>
      </c>
      <c r="H20" s="47">
        <v>0</v>
      </c>
      <c r="I20" s="47">
        <v>0</v>
      </c>
      <c r="J20" s="47">
        <v>0</v>
      </c>
      <c r="K20" s="47">
        <v>0</v>
      </c>
      <c r="L20" s="47">
        <v>0</v>
      </c>
      <c r="M20" s="47">
        <v>0</v>
      </c>
      <c r="N20" s="47">
        <v>0</v>
      </c>
      <c r="O20" s="47">
        <v>0</v>
      </c>
      <c r="P20" s="47">
        <v>0</v>
      </c>
      <c r="Q20" s="47">
        <v>0</v>
      </c>
      <c r="R20" s="47">
        <v>0.01</v>
      </c>
      <c r="S20" s="47">
        <v>0</v>
      </c>
      <c r="T20" s="47">
        <v>0</v>
      </c>
      <c r="U20" s="52">
        <v>0</v>
      </c>
    </row>
    <row r="21" spans="1:21" s="45" customFormat="1" ht="18" x14ac:dyDescent="0.2">
      <c r="A21" s="13" t="s">
        <v>153</v>
      </c>
      <c r="B21" s="51">
        <v>0</v>
      </c>
      <c r="C21" s="47">
        <v>0</v>
      </c>
      <c r="D21" s="47">
        <f>2.72/2</f>
        <v>1.36</v>
      </c>
      <c r="E21" s="47">
        <v>0</v>
      </c>
      <c r="F21" s="47">
        <v>0</v>
      </c>
      <c r="G21" s="52">
        <v>0</v>
      </c>
      <c r="H21" s="47">
        <f>3.6/2</f>
        <v>1.8</v>
      </c>
      <c r="I21" s="47">
        <f>3.68/2</f>
        <v>1.84</v>
      </c>
      <c r="J21" s="47">
        <f>64.48/2</f>
        <v>32.24</v>
      </c>
      <c r="K21" s="47">
        <f>0.8/2</f>
        <v>0.4</v>
      </c>
      <c r="L21" s="47">
        <v>0</v>
      </c>
      <c r="M21" s="47">
        <f>64.72/2</f>
        <v>32.36</v>
      </c>
      <c r="N21" s="47">
        <v>0</v>
      </c>
      <c r="O21" s="47">
        <f>1.16/2</f>
        <v>0.57999999999999996</v>
      </c>
      <c r="P21" s="47">
        <f>97/2</f>
        <v>48.5</v>
      </c>
      <c r="Q21" s="47">
        <f>60.56/2</f>
        <v>30.28</v>
      </c>
      <c r="R21" s="47">
        <f>12.6/2</f>
        <v>6.3</v>
      </c>
      <c r="S21" s="47">
        <f>105/2</f>
        <v>52.5</v>
      </c>
      <c r="T21" s="47">
        <f>29.68/2</f>
        <v>14.84</v>
      </c>
      <c r="U21" s="52">
        <f>2.88/2</f>
        <v>1.44</v>
      </c>
    </row>
    <row r="22" spans="1:21" s="45" customFormat="1" ht="18" x14ac:dyDescent="0.2">
      <c r="A22" s="13" t="s">
        <v>123</v>
      </c>
      <c r="B22" s="51">
        <v>0</v>
      </c>
      <c r="C22" s="47">
        <v>0</v>
      </c>
      <c r="D22" s="47">
        <v>0.01</v>
      </c>
      <c r="E22" s="47">
        <v>1</v>
      </c>
      <c r="F22" s="47">
        <v>0</v>
      </c>
      <c r="G22" s="52">
        <v>0</v>
      </c>
      <c r="H22" s="47">
        <v>0</v>
      </c>
      <c r="I22" s="47">
        <v>0</v>
      </c>
      <c r="J22" s="47">
        <v>71.48</v>
      </c>
      <c r="K22" s="47">
        <v>0</v>
      </c>
      <c r="L22" s="47">
        <v>0.16</v>
      </c>
      <c r="M22" s="47">
        <v>0</v>
      </c>
      <c r="N22" s="47">
        <v>0</v>
      </c>
      <c r="O22" s="47">
        <v>0</v>
      </c>
      <c r="P22" s="47">
        <v>4.76</v>
      </c>
      <c r="Q22" s="47">
        <v>0</v>
      </c>
      <c r="R22" s="47">
        <v>29.96</v>
      </c>
      <c r="S22" s="47">
        <v>4.5999999999999996</v>
      </c>
      <c r="T22" s="47">
        <v>0.01</v>
      </c>
      <c r="U22" s="52">
        <v>0</v>
      </c>
    </row>
    <row r="23" spans="1:21" s="45" customFormat="1" ht="18" x14ac:dyDescent="0.2">
      <c r="A23" s="4" t="s">
        <v>80</v>
      </c>
      <c r="B23" s="51">
        <v>0</v>
      </c>
      <c r="C23" s="47">
        <v>0</v>
      </c>
      <c r="D23" s="47">
        <v>21.32</v>
      </c>
      <c r="E23" s="47">
        <v>0</v>
      </c>
      <c r="F23" s="47">
        <v>0</v>
      </c>
      <c r="G23" s="52">
        <v>0</v>
      </c>
      <c r="H23" s="47">
        <v>0</v>
      </c>
      <c r="I23" s="47">
        <v>0</v>
      </c>
      <c r="J23" s="47">
        <v>0</v>
      </c>
      <c r="K23" s="47">
        <v>0</v>
      </c>
      <c r="L23" s="47">
        <v>0</v>
      </c>
      <c r="M23" s="47">
        <v>0</v>
      </c>
      <c r="N23" s="47">
        <v>0</v>
      </c>
      <c r="O23" s="47">
        <v>0</v>
      </c>
      <c r="P23" s="47">
        <v>0</v>
      </c>
      <c r="Q23" s="47">
        <v>0</v>
      </c>
      <c r="R23" s="47">
        <v>8.8000000000000007</v>
      </c>
      <c r="S23" s="47">
        <v>0</v>
      </c>
      <c r="T23" s="47">
        <v>0</v>
      </c>
      <c r="U23" s="52">
        <v>0</v>
      </c>
    </row>
    <row r="24" spans="1:21" s="45" customFormat="1" ht="18" x14ac:dyDescent="0.2">
      <c r="A24" s="13" t="s">
        <v>154</v>
      </c>
      <c r="B24" s="51">
        <v>0</v>
      </c>
      <c r="C24" s="47">
        <v>0</v>
      </c>
      <c r="D24" s="47">
        <v>0</v>
      </c>
      <c r="E24" s="47">
        <v>0</v>
      </c>
      <c r="F24" s="47">
        <v>0.01</v>
      </c>
      <c r="G24" s="52">
        <v>0</v>
      </c>
      <c r="H24" s="47">
        <v>0</v>
      </c>
      <c r="I24" s="47">
        <v>0</v>
      </c>
      <c r="J24" s="47">
        <v>0</v>
      </c>
      <c r="K24" s="47">
        <v>0</v>
      </c>
      <c r="L24" s="47">
        <v>0</v>
      </c>
      <c r="M24" s="47">
        <v>0</v>
      </c>
      <c r="N24" s="47">
        <v>0</v>
      </c>
      <c r="O24" s="47">
        <v>0</v>
      </c>
      <c r="P24" s="47">
        <v>0</v>
      </c>
      <c r="Q24" s="47">
        <v>0</v>
      </c>
      <c r="R24" s="47">
        <v>0</v>
      </c>
      <c r="S24" s="47">
        <v>0</v>
      </c>
      <c r="T24" s="47">
        <v>0</v>
      </c>
      <c r="U24" s="52">
        <v>0</v>
      </c>
    </row>
    <row r="25" spans="1:21" s="45" customFormat="1" ht="18" x14ac:dyDescent="0.2">
      <c r="A25" s="13" t="s">
        <v>140</v>
      </c>
      <c r="B25" s="51">
        <v>0</v>
      </c>
      <c r="C25" s="47">
        <v>0</v>
      </c>
      <c r="D25" s="47">
        <v>0</v>
      </c>
      <c r="E25" s="47">
        <v>0</v>
      </c>
      <c r="F25" s="47">
        <v>0</v>
      </c>
      <c r="G25" s="52">
        <v>0</v>
      </c>
      <c r="H25" s="47">
        <v>0</v>
      </c>
      <c r="I25" s="47">
        <v>0</v>
      </c>
      <c r="J25" s="47">
        <v>0</v>
      </c>
      <c r="K25" s="47">
        <v>0</v>
      </c>
      <c r="L25" s="47">
        <v>0</v>
      </c>
      <c r="M25" s="47">
        <v>0</v>
      </c>
      <c r="N25" s="47">
        <v>0</v>
      </c>
      <c r="O25" s="47">
        <v>0.01</v>
      </c>
      <c r="P25" s="47">
        <v>0</v>
      </c>
      <c r="Q25" s="47">
        <v>0</v>
      </c>
      <c r="R25" s="47">
        <v>0</v>
      </c>
      <c r="S25" s="47">
        <v>0</v>
      </c>
      <c r="T25" s="47">
        <v>0</v>
      </c>
      <c r="U25" s="52">
        <v>0</v>
      </c>
    </row>
    <row r="26" spans="1:21" s="45" customFormat="1" ht="18" x14ac:dyDescent="0.2">
      <c r="A26" s="13" t="s">
        <v>124</v>
      </c>
      <c r="B26" s="51">
        <v>0</v>
      </c>
      <c r="C26" s="47">
        <v>0</v>
      </c>
      <c r="D26" s="47">
        <v>0</v>
      </c>
      <c r="E26" s="47">
        <v>0</v>
      </c>
      <c r="F26" s="47">
        <v>0</v>
      </c>
      <c r="G26" s="52">
        <v>0</v>
      </c>
      <c r="H26" s="47">
        <v>0</v>
      </c>
      <c r="I26" s="47">
        <v>0</v>
      </c>
      <c r="J26" s="47">
        <v>0</v>
      </c>
      <c r="K26" s="47">
        <v>0</v>
      </c>
      <c r="L26" s="47">
        <v>0</v>
      </c>
      <c r="M26" s="47">
        <v>0</v>
      </c>
      <c r="N26" s="47">
        <v>0</v>
      </c>
      <c r="O26" s="47">
        <v>0</v>
      </c>
      <c r="P26" s="47">
        <v>0</v>
      </c>
      <c r="Q26" s="47">
        <v>0</v>
      </c>
      <c r="R26" s="47">
        <v>0</v>
      </c>
      <c r="S26" s="47">
        <v>0</v>
      </c>
      <c r="T26" s="47">
        <v>0</v>
      </c>
      <c r="U26" s="52">
        <v>0</v>
      </c>
    </row>
    <row r="27" spans="1:21" s="45" customFormat="1" ht="18" x14ac:dyDescent="0.2">
      <c r="A27" s="13" t="s">
        <v>142</v>
      </c>
      <c r="B27" s="51">
        <v>0</v>
      </c>
      <c r="C27" s="47">
        <v>0</v>
      </c>
      <c r="D27" s="47">
        <v>7.88</v>
      </c>
      <c r="E27" s="47">
        <v>0</v>
      </c>
      <c r="F27" s="47">
        <v>0</v>
      </c>
      <c r="G27" s="52">
        <v>57.2</v>
      </c>
      <c r="H27" s="47">
        <v>0</v>
      </c>
      <c r="I27" s="47">
        <v>42.24</v>
      </c>
      <c r="J27" s="47">
        <v>0</v>
      </c>
      <c r="K27" s="47">
        <v>0</v>
      </c>
      <c r="L27" s="47">
        <v>0</v>
      </c>
      <c r="M27" s="47">
        <v>0</v>
      </c>
      <c r="N27" s="47">
        <v>0</v>
      </c>
      <c r="O27" s="47">
        <v>0</v>
      </c>
      <c r="P27" s="47">
        <v>0</v>
      </c>
      <c r="Q27" s="47">
        <v>0</v>
      </c>
      <c r="R27" s="47">
        <v>0</v>
      </c>
      <c r="S27" s="47">
        <v>0</v>
      </c>
      <c r="T27" s="47">
        <v>21.8</v>
      </c>
      <c r="U27" s="52">
        <v>0</v>
      </c>
    </row>
    <row r="28" spans="1:21" s="45" customFormat="1" ht="18" x14ac:dyDescent="0.2">
      <c r="A28" s="13" t="s">
        <v>143</v>
      </c>
      <c r="B28" s="51">
        <v>0</v>
      </c>
      <c r="C28" s="47">
        <v>0</v>
      </c>
      <c r="D28" s="47">
        <v>0</v>
      </c>
      <c r="E28" s="47">
        <v>0</v>
      </c>
      <c r="F28" s="47">
        <v>0.01</v>
      </c>
      <c r="G28" s="52">
        <v>0</v>
      </c>
      <c r="H28" s="47">
        <v>0</v>
      </c>
      <c r="I28" s="47">
        <v>0</v>
      </c>
      <c r="J28" s="47">
        <v>0</v>
      </c>
      <c r="K28" s="47">
        <v>0</v>
      </c>
      <c r="L28" s="47">
        <v>0</v>
      </c>
      <c r="M28" s="47">
        <v>0</v>
      </c>
      <c r="N28" s="47">
        <v>0</v>
      </c>
      <c r="O28" s="47">
        <v>0</v>
      </c>
      <c r="P28" s="47">
        <v>0</v>
      </c>
      <c r="Q28" s="47">
        <v>0</v>
      </c>
      <c r="R28" s="47">
        <v>0</v>
      </c>
      <c r="S28" s="47">
        <v>0</v>
      </c>
      <c r="T28" s="47">
        <v>0</v>
      </c>
      <c r="U28" s="52">
        <v>0</v>
      </c>
    </row>
    <row r="29" spans="1:21" s="45" customFormat="1" ht="18" x14ac:dyDescent="0.2">
      <c r="A29" s="4" t="s">
        <v>132</v>
      </c>
      <c r="B29" s="53">
        <v>0</v>
      </c>
      <c r="C29" s="54">
        <v>0</v>
      </c>
      <c r="D29" s="54">
        <v>0</v>
      </c>
      <c r="E29" s="54">
        <v>0</v>
      </c>
      <c r="F29" s="77">
        <v>0.01</v>
      </c>
      <c r="G29" s="78">
        <v>0.01</v>
      </c>
      <c r="H29" s="77">
        <v>0.01</v>
      </c>
      <c r="I29" s="77">
        <v>0.01</v>
      </c>
      <c r="J29" s="77">
        <v>5.16</v>
      </c>
      <c r="K29" s="54">
        <v>0</v>
      </c>
      <c r="L29" s="54">
        <v>0</v>
      </c>
      <c r="M29" s="54">
        <v>0</v>
      </c>
      <c r="N29" s="54">
        <v>0</v>
      </c>
      <c r="O29" s="54">
        <v>0</v>
      </c>
      <c r="P29" s="77">
        <v>0.01</v>
      </c>
      <c r="Q29" s="77">
        <v>0.01</v>
      </c>
      <c r="R29" s="54">
        <v>0</v>
      </c>
      <c r="S29" s="54">
        <v>0</v>
      </c>
      <c r="T29" s="54">
        <v>0</v>
      </c>
      <c r="U29" s="55">
        <v>0</v>
      </c>
    </row>
    <row r="30" spans="1:21" s="45" customFormat="1" ht="18" x14ac:dyDescent="0.2"/>
    <row r="31" spans="1:21" s="45" customFormat="1" ht="18" x14ac:dyDescent="0.2"/>
    <row r="32" spans="1:21" s="45" customFormat="1" ht="18" x14ac:dyDescent="0.2"/>
    <row r="33" s="45" customFormat="1" ht="18" x14ac:dyDescent="0.2"/>
    <row r="34" s="45" customFormat="1" ht="18" x14ac:dyDescent="0.2"/>
    <row r="35" s="45" customFormat="1" ht="18" x14ac:dyDescent="0.2"/>
    <row r="36" s="45" customFormat="1" ht="18" x14ac:dyDescent="0.2"/>
    <row r="37" s="45" customFormat="1" ht="18" x14ac:dyDescent="0.2"/>
    <row r="38" s="45" customFormat="1" ht="18" x14ac:dyDescent="0.2"/>
    <row r="39" s="45" customFormat="1" ht="18" x14ac:dyDescent="0.2"/>
    <row r="40" s="45" customFormat="1" ht="18" x14ac:dyDescent="0.2"/>
    <row r="41" s="45" customFormat="1" ht="18" x14ac:dyDescent="0.2"/>
    <row r="42" s="45" customFormat="1" ht="18" x14ac:dyDescent="0.2"/>
    <row r="43" s="45" customFormat="1" ht="18" x14ac:dyDescent="0.2"/>
    <row r="44" s="45" customFormat="1" ht="18" x14ac:dyDescent="0.2"/>
    <row r="45" s="45" customFormat="1" ht="18" x14ac:dyDescent="0.2"/>
    <row r="46" s="45" customFormat="1" ht="18" x14ac:dyDescent="0.2"/>
    <row r="47" s="45" customFormat="1" ht="18" x14ac:dyDescent="0.2"/>
    <row r="48" s="45" customFormat="1" ht="18" x14ac:dyDescent="0.2"/>
    <row r="49" s="45" customFormat="1" ht="18" x14ac:dyDescent="0.2"/>
    <row r="50" s="45" customFormat="1" ht="18" x14ac:dyDescent="0.2"/>
    <row r="51" s="45" customFormat="1" ht="18" x14ac:dyDescent="0.2"/>
    <row r="52" s="45" customFormat="1" ht="18" x14ac:dyDescent="0.2"/>
    <row r="53" s="45" customFormat="1" ht="18" x14ac:dyDescent="0.2"/>
    <row r="54" s="45" customFormat="1" ht="18" x14ac:dyDescent="0.2"/>
    <row r="55" s="45" customFormat="1" ht="18" x14ac:dyDescent="0.2"/>
    <row r="56" s="45" customFormat="1" ht="18" x14ac:dyDescent="0.2"/>
    <row r="57" s="45" customFormat="1" ht="18" x14ac:dyDescent="0.2"/>
  </sheetData>
  <sortState xmlns:xlrd2="http://schemas.microsoft.com/office/spreadsheetml/2017/richdata2" ref="A3:U28">
    <sortCondition ref="A3:A28"/>
  </sortState>
  <mergeCells count="2">
    <mergeCell ref="B1:G1"/>
    <mergeCell ref="H1:U1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G26"/>
  <sheetViews>
    <sheetView zoomScaleNormal="100" workbookViewId="0">
      <selection activeCell="B9" sqref="B9"/>
    </sheetView>
  </sheetViews>
  <sheetFormatPr baseColWidth="10" defaultColWidth="9.1640625" defaultRowHeight="18" x14ac:dyDescent="0.2"/>
  <cols>
    <col min="1" max="1" width="79.33203125" style="22" customWidth="1"/>
    <col min="2" max="21" width="9.83203125" style="22" customWidth="1"/>
    <col min="22" max="22" width="7.83203125" style="22" customWidth="1"/>
    <col min="23" max="24" width="7.5" style="22" customWidth="1"/>
    <col min="25" max="26" width="8.83203125" style="22" customWidth="1"/>
    <col min="27" max="27" width="7.6640625" style="22" customWidth="1"/>
    <col min="28" max="28" width="8.1640625" style="22" customWidth="1"/>
    <col min="29" max="30" width="7.6640625" style="22" customWidth="1"/>
    <col min="31" max="31" width="8.5" style="22" customWidth="1"/>
    <col min="32" max="33" width="9.6640625" style="22" customWidth="1"/>
    <col min="34" max="34" width="9.5" style="22" customWidth="1"/>
    <col min="35" max="16384" width="9.1640625" style="22"/>
  </cols>
  <sheetData>
    <row r="1" spans="1:33" x14ac:dyDescent="0.2">
      <c r="B1" s="85" t="s">
        <v>26</v>
      </c>
      <c r="C1" s="86"/>
      <c r="D1" s="86"/>
      <c r="E1" s="86"/>
      <c r="F1" s="86"/>
      <c r="G1" s="87"/>
      <c r="H1" s="85" t="s">
        <v>27</v>
      </c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7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</row>
    <row r="2" spans="1:33" x14ac:dyDescent="0.2">
      <c r="A2" s="57" t="s">
        <v>100</v>
      </c>
      <c r="B2" s="35" t="s">
        <v>1</v>
      </c>
      <c r="C2" s="36" t="s">
        <v>2</v>
      </c>
      <c r="D2" s="36" t="s">
        <v>3</v>
      </c>
      <c r="E2" s="36" t="s">
        <v>4</v>
      </c>
      <c r="F2" s="36" t="s">
        <v>5</v>
      </c>
      <c r="G2" s="37" t="s">
        <v>6</v>
      </c>
      <c r="H2" s="35" t="s">
        <v>7</v>
      </c>
      <c r="I2" s="36" t="s">
        <v>8</v>
      </c>
      <c r="J2" s="36" t="s">
        <v>9</v>
      </c>
      <c r="K2" s="36" t="s">
        <v>10</v>
      </c>
      <c r="L2" s="36" t="s">
        <v>11</v>
      </c>
      <c r="M2" s="36" t="s">
        <v>12</v>
      </c>
      <c r="N2" s="36" t="s">
        <v>13</v>
      </c>
      <c r="O2" s="36" t="s">
        <v>14</v>
      </c>
      <c r="P2" s="36" t="s">
        <v>15</v>
      </c>
      <c r="Q2" s="36" t="s">
        <v>16</v>
      </c>
      <c r="R2" s="36" t="s">
        <v>17</v>
      </c>
      <c r="S2" s="36" t="s">
        <v>18</v>
      </c>
      <c r="T2" s="36" t="s">
        <v>19</v>
      </c>
      <c r="U2" s="37" t="s">
        <v>20</v>
      </c>
    </row>
    <row r="3" spans="1:33" x14ac:dyDescent="0.2">
      <c r="A3" s="13" t="s">
        <v>56</v>
      </c>
      <c r="B3" s="25">
        <v>0</v>
      </c>
      <c r="C3" s="6">
        <v>0</v>
      </c>
      <c r="D3" s="6">
        <f>146.8/2</f>
        <v>73.400000000000006</v>
      </c>
      <c r="E3" s="6">
        <f>80.76/2</f>
        <v>40.380000000000003</v>
      </c>
      <c r="F3" s="6">
        <f>39.2/2</f>
        <v>19.600000000000001</v>
      </c>
      <c r="G3" s="26">
        <f>470.6/2</f>
        <v>235.3</v>
      </c>
      <c r="H3" s="25">
        <v>0</v>
      </c>
      <c r="I3" s="6">
        <v>0</v>
      </c>
      <c r="J3" s="6">
        <f>100.76/2</f>
        <v>50.38</v>
      </c>
      <c r="K3" s="6">
        <f>406.16/2</f>
        <v>203.08</v>
      </c>
      <c r="L3" s="6">
        <v>0</v>
      </c>
      <c r="M3" s="6">
        <v>0</v>
      </c>
      <c r="N3" s="6">
        <f>159.24/2</f>
        <v>79.62</v>
      </c>
      <c r="O3" s="6">
        <f>766.44/2</f>
        <v>383.22</v>
      </c>
      <c r="P3" s="6">
        <v>0</v>
      </c>
      <c r="Q3" s="6">
        <f>42.8/2</f>
        <v>21.4</v>
      </c>
      <c r="R3" s="6">
        <f>28.8/2</f>
        <v>14.4</v>
      </c>
      <c r="S3" s="6">
        <f>251.12/2</f>
        <v>125.56</v>
      </c>
      <c r="T3" s="6">
        <f>219/2</f>
        <v>109.5</v>
      </c>
      <c r="U3" s="26">
        <f>48.36/2</f>
        <v>24.18</v>
      </c>
    </row>
    <row r="4" spans="1:33" x14ac:dyDescent="0.2">
      <c r="A4" s="13" t="s">
        <v>103</v>
      </c>
      <c r="B4" s="25">
        <v>0</v>
      </c>
      <c r="C4" s="6">
        <v>0</v>
      </c>
      <c r="D4" s="6">
        <v>8.44</v>
      </c>
      <c r="E4" s="6">
        <v>9.44</v>
      </c>
      <c r="F4" s="6">
        <v>0</v>
      </c>
      <c r="G4" s="26">
        <v>0</v>
      </c>
      <c r="H4" s="25">
        <v>0</v>
      </c>
      <c r="I4" s="6">
        <v>0</v>
      </c>
      <c r="J4" s="6">
        <v>6.68</v>
      </c>
      <c r="K4" s="6">
        <v>0.01</v>
      </c>
      <c r="L4" s="6">
        <v>0</v>
      </c>
      <c r="M4" s="6">
        <v>0</v>
      </c>
      <c r="N4" s="6">
        <v>0</v>
      </c>
      <c r="O4" s="6">
        <v>0</v>
      </c>
      <c r="P4" s="6">
        <v>0.32</v>
      </c>
      <c r="Q4" s="6">
        <v>0.28000000000000003</v>
      </c>
      <c r="R4" s="6">
        <v>0</v>
      </c>
      <c r="S4" s="6">
        <v>0</v>
      </c>
      <c r="T4" s="6">
        <v>0</v>
      </c>
      <c r="U4" s="26">
        <v>0</v>
      </c>
    </row>
    <row r="5" spans="1:33" x14ac:dyDescent="0.2">
      <c r="A5" s="24" t="s">
        <v>95</v>
      </c>
      <c r="B5" s="25">
        <v>0</v>
      </c>
      <c r="C5" s="6">
        <v>0</v>
      </c>
      <c r="D5" s="6">
        <v>0</v>
      </c>
      <c r="E5" s="6">
        <v>0</v>
      </c>
      <c r="F5" s="6">
        <v>0</v>
      </c>
      <c r="G5" s="26">
        <v>0</v>
      </c>
      <c r="H5" s="25">
        <v>0</v>
      </c>
      <c r="I5" s="6">
        <v>0</v>
      </c>
      <c r="J5" s="6">
        <v>0</v>
      </c>
      <c r="K5" s="6">
        <v>0</v>
      </c>
      <c r="L5" s="6">
        <v>0</v>
      </c>
      <c r="M5" s="6">
        <v>0</v>
      </c>
      <c r="N5" s="6">
        <v>7</v>
      </c>
      <c r="O5" s="6">
        <v>3.6</v>
      </c>
      <c r="P5" s="6">
        <v>0</v>
      </c>
      <c r="Q5" s="6">
        <v>0</v>
      </c>
      <c r="R5" s="6">
        <v>2</v>
      </c>
      <c r="S5" s="6">
        <v>0</v>
      </c>
      <c r="T5" s="6">
        <v>0</v>
      </c>
      <c r="U5" s="26">
        <v>0</v>
      </c>
    </row>
    <row r="6" spans="1:33" x14ac:dyDescent="0.2">
      <c r="A6" s="23" t="s">
        <v>155</v>
      </c>
      <c r="B6" s="25">
        <v>0</v>
      </c>
      <c r="C6" s="6">
        <v>0</v>
      </c>
      <c r="D6" s="6">
        <v>0</v>
      </c>
      <c r="E6" s="6">
        <v>0.01</v>
      </c>
      <c r="F6" s="6">
        <v>0</v>
      </c>
      <c r="G6" s="26">
        <v>0</v>
      </c>
      <c r="H6" s="25">
        <v>0</v>
      </c>
      <c r="I6" s="6">
        <v>0</v>
      </c>
      <c r="J6" s="6">
        <v>1.6</v>
      </c>
      <c r="K6" s="6">
        <v>0</v>
      </c>
      <c r="L6" s="6">
        <v>0</v>
      </c>
      <c r="M6" s="6">
        <v>0</v>
      </c>
      <c r="N6" s="6">
        <v>0</v>
      </c>
      <c r="O6" s="6">
        <v>0</v>
      </c>
      <c r="P6" s="6">
        <v>0.01</v>
      </c>
      <c r="Q6" s="6">
        <v>0</v>
      </c>
      <c r="R6" s="6">
        <v>0</v>
      </c>
      <c r="S6" s="6">
        <v>0</v>
      </c>
      <c r="T6" s="6">
        <v>0</v>
      </c>
      <c r="U6" s="26">
        <v>0</v>
      </c>
    </row>
    <row r="7" spans="1:33" x14ac:dyDescent="0.2">
      <c r="A7" s="22" t="s">
        <v>156</v>
      </c>
      <c r="B7" s="25">
        <v>0</v>
      </c>
      <c r="C7" s="6">
        <v>0</v>
      </c>
      <c r="D7" s="6">
        <v>0</v>
      </c>
      <c r="E7" s="6">
        <v>0</v>
      </c>
      <c r="F7" s="6">
        <v>0</v>
      </c>
      <c r="G7" s="26">
        <v>0</v>
      </c>
      <c r="H7" s="25">
        <v>0</v>
      </c>
      <c r="I7" s="6">
        <v>0</v>
      </c>
      <c r="J7" s="6">
        <v>0</v>
      </c>
      <c r="K7" s="6">
        <v>1.04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0</v>
      </c>
      <c r="U7" s="26">
        <v>0</v>
      </c>
    </row>
    <row r="8" spans="1:33" x14ac:dyDescent="0.2">
      <c r="A8" s="13" t="s">
        <v>106</v>
      </c>
      <c r="B8" s="25">
        <v>867.52</v>
      </c>
      <c r="C8" s="6">
        <v>873.4</v>
      </c>
      <c r="D8" s="6">
        <v>0.72</v>
      </c>
      <c r="E8" s="6">
        <v>0</v>
      </c>
      <c r="F8" s="6">
        <v>0</v>
      </c>
      <c r="G8" s="26">
        <v>0</v>
      </c>
      <c r="H8" s="25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26">
        <v>0</v>
      </c>
    </row>
    <row r="9" spans="1:33" x14ac:dyDescent="0.2">
      <c r="A9" s="13" t="s">
        <v>107</v>
      </c>
      <c r="B9" s="25">
        <v>141.96</v>
      </c>
      <c r="C9" s="6">
        <v>52</v>
      </c>
      <c r="D9" s="6">
        <v>9.76</v>
      </c>
      <c r="E9" s="6">
        <v>0</v>
      </c>
      <c r="F9" s="6">
        <v>0</v>
      </c>
      <c r="G9" s="26">
        <v>0</v>
      </c>
      <c r="H9" s="25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26">
        <v>0</v>
      </c>
    </row>
    <row r="10" spans="1:33" x14ac:dyDescent="0.2">
      <c r="A10" s="13" t="s">
        <v>109</v>
      </c>
      <c r="B10" s="25">
        <v>0</v>
      </c>
      <c r="C10" s="6">
        <v>0</v>
      </c>
      <c r="D10" s="6">
        <v>0</v>
      </c>
      <c r="E10" s="6">
        <v>0</v>
      </c>
      <c r="F10" s="6">
        <v>0</v>
      </c>
      <c r="G10" s="26">
        <v>0</v>
      </c>
      <c r="H10" s="25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0.36</v>
      </c>
      <c r="Q10" s="6">
        <v>0</v>
      </c>
      <c r="R10" s="6">
        <v>0</v>
      </c>
      <c r="S10" s="6">
        <v>0</v>
      </c>
      <c r="T10" s="6">
        <v>0</v>
      </c>
      <c r="U10" s="26">
        <v>0</v>
      </c>
    </row>
    <row r="11" spans="1:33" x14ac:dyDescent="0.2">
      <c r="A11" s="13" t="s">
        <v>110</v>
      </c>
      <c r="B11" s="25">
        <v>0</v>
      </c>
      <c r="C11" s="6">
        <v>0</v>
      </c>
      <c r="D11" s="6">
        <v>1167.5999999999999</v>
      </c>
      <c r="E11" s="6">
        <v>399.56</v>
      </c>
      <c r="F11" s="6">
        <v>1519.6</v>
      </c>
      <c r="G11" s="26">
        <v>1043.2</v>
      </c>
      <c r="H11" s="25">
        <v>9.48</v>
      </c>
      <c r="I11" s="6">
        <v>295.12</v>
      </c>
      <c r="J11" s="6">
        <v>103.2</v>
      </c>
      <c r="K11" s="6">
        <v>0</v>
      </c>
      <c r="L11" s="6">
        <v>228.68</v>
      </c>
      <c r="M11" s="6">
        <v>0</v>
      </c>
      <c r="N11" s="6">
        <v>440.6</v>
      </c>
      <c r="O11" s="6">
        <v>26.24</v>
      </c>
      <c r="P11" s="6">
        <v>1595.6</v>
      </c>
      <c r="Q11" s="6">
        <v>797.92</v>
      </c>
      <c r="R11" s="6">
        <v>723.2</v>
      </c>
      <c r="S11" s="6">
        <v>486.08</v>
      </c>
      <c r="T11" s="6">
        <v>403.52</v>
      </c>
      <c r="U11" s="26">
        <v>680.64</v>
      </c>
    </row>
    <row r="12" spans="1:33" x14ac:dyDescent="0.2">
      <c r="A12" s="13" t="s">
        <v>111</v>
      </c>
      <c r="B12" s="25">
        <v>0</v>
      </c>
      <c r="C12" s="6">
        <v>0</v>
      </c>
      <c r="D12" s="6">
        <v>0</v>
      </c>
      <c r="E12" s="6">
        <v>15.08</v>
      </c>
      <c r="F12" s="6">
        <v>0</v>
      </c>
      <c r="G12" s="26">
        <v>0</v>
      </c>
      <c r="H12" s="25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3.36</v>
      </c>
      <c r="P12" s="6">
        <v>0</v>
      </c>
      <c r="Q12" s="6">
        <v>0</v>
      </c>
      <c r="R12" s="6">
        <v>0</v>
      </c>
      <c r="S12" s="6">
        <v>0</v>
      </c>
      <c r="T12" s="6">
        <v>0</v>
      </c>
      <c r="U12" s="26">
        <v>0</v>
      </c>
    </row>
    <row r="13" spans="1:33" x14ac:dyDescent="0.2">
      <c r="A13" s="13" t="s">
        <v>112</v>
      </c>
      <c r="B13" s="25">
        <v>0</v>
      </c>
      <c r="C13" s="6">
        <v>0</v>
      </c>
      <c r="D13" s="6">
        <f>21.08/2</f>
        <v>10.54</v>
      </c>
      <c r="E13" s="6">
        <f>2.36/2</f>
        <v>1.18</v>
      </c>
      <c r="F13" s="6">
        <f>7.2/2</f>
        <v>3.6</v>
      </c>
      <c r="G13" s="26">
        <f>9.6/2</f>
        <v>4.8</v>
      </c>
      <c r="H13" s="25">
        <v>0</v>
      </c>
      <c r="I13" s="6">
        <v>0</v>
      </c>
      <c r="J13" s="6">
        <f>17.48/2</f>
        <v>8.74</v>
      </c>
      <c r="K13" s="6">
        <v>0</v>
      </c>
      <c r="L13" s="6">
        <f>1.24/2</f>
        <v>0.62</v>
      </c>
      <c r="M13" s="6">
        <v>0</v>
      </c>
      <c r="N13" s="6">
        <f>18.84/2</f>
        <v>9.42</v>
      </c>
      <c r="O13" s="6">
        <f>21.56/2</f>
        <v>10.78</v>
      </c>
      <c r="P13" s="6">
        <f>6.36/2</f>
        <v>3.18</v>
      </c>
      <c r="Q13" s="6">
        <f>8.16/2</f>
        <v>4.08</v>
      </c>
      <c r="R13" s="6">
        <f>11.44/2</f>
        <v>5.72</v>
      </c>
      <c r="S13" s="6">
        <f>101.2/2</f>
        <v>50.6</v>
      </c>
      <c r="T13" s="6">
        <f>20.32/2</f>
        <v>10.16</v>
      </c>
      <c r="U13" s="26">
        <f>5.48/2</f>
        <v>2.74</v>
      </c>
    </row>
    <row r="14" spans="1:33" x14ac:dyDescent="0.2">
      <c r="A14" s="13" t="s">
        <v>114</v>
      </c>
      <c r="B14" s="25">
        <v>0</v>
      </c>
      <c r="C14" s="6">
        <v>0</v>
      </c>
      <c r="D14" s="6">
        <f>21.08/2</f>
        <v>10.54</v>
      </c>
      <c r="E14" s="6">
        <f>2.36/2</f>
        <v>1.18</v>
      </c>
      <c r="F14" s="6">
        <f>7.2/2</f>
        <v>3.6</v>
      </c>
      <c r="G14" s="26">
        <f>9.6/2</f>
        <v>4.8</v>
      </c>
      <c r="H14" s="25">
        <v>0</v>
      </c>
      <c r="I14" s="6">
        <v>0</v>
      </c>
      <c r="J14" s="6">
        <f>17.48/2</f>
        <v>8.74</v>
      </c>
      <c r="K14" s="6">
        <v>0</v>
      </c>
      <c r="L14" s="6">
        <f>1.24/2</f>
        <v>0.62</v>
      </c>
      <c r="M14" s="6">
        <v>0</v>
      </c>
      <c r="N14" s="6">
        <f>18.84/2</f>
        <v>9.42</v>
      </c>
      <c r="O14" s="6">
        <f>21.56/2</f>
        <v>10.78</v>
      </c>
      <c r="P14" s="6">
        <f>6.36/2</f>
        <v>3.18</v>
      </c>
      <c r="Q14" s="6">
        <f>8.16/2</f>
        <v>4.08</v>
      </c>
      <c r="R14" s="6">
        <f>11.44/2</f>
        <v>5.72</v>
      </c>
      <c r="S14" s="6">
        <f>101.2/2</f>
        <v>50.6</v>
      </c>
      <c r="T14" s="6">
        <f>20.32/2</f>
        <v>10.16</v>
      </c>
      <c r="U14" s="26">
        <f>5.48/2</f>
        <v>2.74</v>
      </c>
    </row>
    <row r="15" spans="1:33" x14ac:dyDescent="0.2">
      <c r="A15" s="13" t="s">
        <v>116</v>
      </c>
      <c r="B15" s="25">
        <v>0</v>
      </c>
      <c r="C15" s="6">
        <v>0</v>
      </c>
      <c r="D15" s="6">
        <v>0</v>
      </c>
      <c r="E15" s="6">
        <v>0</v>
      </c>
      <c r="F15" s="6">
        <v>0</v>
      </c>
      <c r="G15" s="26">
        <v>0</v>
      </c>
      <c r="H15" s="25">
        <v>276.04000000000002</v>
      </c>
      <c r="I15" s="6">
        <v>12.32</v>
      </c>
      <c r="J15" s="6">
        <v>0</v>
      </c>
      <c r="K15" s="6">
        <v>77.92</v>
      </c>
      <c r="L15" s="6">
        <v>8.7200000000000006</v>
      </c>
      <c r="M15" s="6">
        <v>130.24</v>
      </c>
      <c r="N15" s="6">
        <v>0</v>
      </c>
      <c r="O15" s="6">
        <v>0</v>
      </c>
      <c r="P15" s="6">
        <v>2.92</v>
      </c>
      <c r="Q15" s="6">
        <v>0</v>
      </c>
      <c r="R15" s="6">
        <v>0.01</v>
      </c>
      <c r="S15" s="6">
        <v>61.4</v>
      </c>
      <c r="T15" s="6">
        <v>14.52</v>
      </c>
      <c r="U15" s="26">
        <v>7.08</v>
      </c>
    </row>
    <row r="16" spans="1:33" x14ac:dyDescent="0.2">
      <c r="A16" s="22" t="s">
        <v>157</v>
      </c>
      <c r="B16" s="25">
        <v>0</v>
      </c>
      <c r="C16" s="6">
        <v>0</v>
      </c>
      <c r="D16" s="6">
        <v>0</v>
      </c>
      <c r="E16" s="6">
        <v>32</v>
      </c>
      <c r="F16" s="6">
        <v>0</v>
      </c>
      <c r="G16" s="26">
        <v>0</v>
      </c>
      <c r="H16" s="25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  <c r="U16" s="26">
        <v>0</v>
      </c>
    </row>
    <row r="17" spans="1:21" x14ac:dyDescent="0.2">
      <c r="A17" s="13" t="s">
        <v>119</v>
      </c>
      <c r="B17" s="25">
        <v>0</v>
      </c>
      <c r="C17" s="6">
        <v>0</v>
      </c>
      <c r="D17" s="6">
        <v>0</v>
      </c>
      <c r="E17" s="6">
        <v>0</v>
      </c>
      <c r="F17" s="6">
        <v>0.08</v>
      </c>
      <c r="G17" s="26">
        <v>0</v>
      </c>
      <c r="H17" s="25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  <c r="S17" s="6">
        <v>0</v>
      </c>
      <c r="T17" s="6">
        <v>0</v>
      </c>
      <c r="U17" s="26">
        <v>0</v>
      </c>
    </row>
    <row r="18" spans="1:21" x14ac:dyDescent="0.2">
      <c r="A18" s="13" t="s">
        <v>121</v>
      </c>
      <c r="B18" s="25">
        <v>0</v>
      </c>
      <c r="C18" s="6">
        <v>0</v>
      </c>
      <c r="D18" s="6">
        <v>0</v>
      </c>
      <c r="E18" s="6">
        <v>0</v>
      </c>
      <c r="F18" s="6">
        <v>0</v>
      </c>
      <c r="G18" s="26">
        <v>0</v>
      </c>
      <c r="H18" s="25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8.48</v>
      </c>
      <c r="O18" s="6">
        <v>9.44</v>
      </c>
      <c r="P18" s="6">
        <v>0.24</v>
      </c>
      <c r="Q18" s="6">
        <v>0</v>
      </c>
      <c r="R18" s="6">
        <v>0</v>
      </c>
      <c r="S18" s="6">
        <v>0</v>
      </c>
      <c r="T18" s="6">
        <v>0</v>
      </c>
      <c r="U18" s="26">
        <v>0</v>
      </c>
    </row>
    <row r="19" spans="1:21" x14ac:dyDescent="0.2">
      <c r="A19" s="13" t="s">
        <v>122</v>
      </c>
      <c r="B19" s="25">
        <v>0</v>
      </c>
      <c r="C19" s="6">
        <v>0</v>
      </c>
      <c r="D19" s="6">
        <v>0</v>
      </c>
      <c r="E19" s="6">
        <v>11.6</v>
      </c>
      <c r="F19" s="6">
        <v>0</v>
      </c>
      <c r="G19" s="26">
        <v>0</v>
      </c>
      <c r="H19" s="25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  <c r="U19" s="26">
        <v>0</v>
      </c>
    </row>
    <row r="20" spans="1:21" x14ac:dyDescent="0.2">
      <c r="A20" s="13" t="s">
        <v>55</v>
      </c>
      <c r="B20" s="25">
        <v>0</v>
      </c>
      <c r="C20" s="6">
        <v>0</v>
      </c>
      <c r="D20" s="6">
        <f>146.8/2</f>
        <v>73.400000000000006</v>
      </c>
      <c r="E20" s="6">
        <f>80.76/2</f>
        <v>40.380000000000003</v>
      </c>
      <c r="F20" s="6">
        <f>39.2/2</f>
        <v>19.600000000000001</v>
      </c>
      <c r="G20" s="26">
        <f>470.6/2</f>
        <v>235.3</v>
      </c>
      <c r="H20" s="25">
        <v>0</v>
      </c>
      <c r="I20" s="6">
        <v>0</v>
      </c>
      <c r="J20" s="6">
        <f>100.76/2</f>
        <v>50.38</v>
      </c>
      <c r="K20" s="6">
        <f>406.16/2</f>
        <v>203.08</v>
      </c>
      <c r="L20" s="6">
        <v>0</v>
      </c>
      <c r="M20" s="6">
        <v>0</v>
      </c>
      <c r="N20" s="6">
        <f>159.24/2</f>
        <v>79.62</v>
      </c>
      <c r="O20" s="6">
        <f>766.44/2</f>
        <v>383.22</v>
      </c>
      <c r="P20" s="6">
        <v>0</v>
      </c>
      <c r="Q20" s="6">
        <f>42.8/2</f>
        <v>21.4</v>
      </c>
      <c r="R20" s="6">
        <f>28.8/2</f>
        <v>14.4</v>
      </c>
      <c r="S20" s="6">
        <f>251.12/2</f>
        <v>125.56</v>
      </c>
      <c r="T20" s="6">
        <f>219/2</f>
        <v>109.5</v>
      </c>
      <c r="U20" s="26">
        <f>48.36/2</f>
        <v>24.18</v>
      </c>
    </row>
    <row r="21" spans="1:21" x14ac:dyDescent="0.2">
      <c r="A21" s="13" t="s">
        <v>123</v>
      </c>
      <c r="B21" s="25">
        <v>0</v>
      </c>
      <c r="C21" s="6">
        <v>0</v>
      </c>
      <c r="D21" s="6">
        <v>0.16</v>
      </c>
      <c r="E21" s="6">
        <v>0</v>
      </c>
      <c r="F21" s="6">
        <v>0.01</v>
      </c>
      <c r="G21" s="26">
        <v>0</v>
      </c>
      <c r="H21" s="25">
        <v>0.64</v>
      </c>
      <c r="I21" s="6">
        <v>0.2</v>
      </c>
      <c r="J21" s="6">
        <v>34.520000000000003</v>
      </c>
      <c r="K21" s="6">
        <v>72.12</v>
      </c>
      <c r="L21" s="6">
        <v>2.52</v>
      </c>
      <c r="M21" s="6">
        <v>0</v>
      </c>
      <c r="N21" s="6">
        <v>2.12</v>
      </c>
      <c r="O21" s="6">
        <v>17.440000000000001</v>
      </c>
      <c r="P21" s="6">
        <v>0</v>
      </c>
      <c r="Q21" s="6">
        <v>0.64</v>
      </c>
      <c r="R21" s="6">
        <v>0</v>
      </c>
      <c r="S21" s="6">
        <v>0.01</v>
      </c>
      <c r="T21" s="6">
        <v>0.01</v>
      </c>
      <c r="U21" s="26">
        <v>0</v>
      </c>
    </row>
    <row r="22" spans="1:21" x14ac:dyDescent="0.2">
      <c r="A22" s="4" t="s">
        <v>80</v>
      </c>
      <c r="B22" s="25">
        <v>0</v>
      </c>
      <c r="C22" s="6">
        <v>0</v>
      </c>
      <c r="D22" s="6">
        <v>0</v>
      </c>
      <c r="E22" s="6">
        <v>0</v>
      </c>
      <c r="F22" s="6">
        <v>0</v>
      </c>
      <c r="G22" s="26">
        <v>0</v>
      </c>
      <c r="H22" s="25">
        <v>0</v>
      </c>
      <c r="I22" s="6">
        <v>0</v>
      </c>
      <c r="J22" s="6">
        <v>259.56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0.88</v>
      </c>
      <c r="Q22" s="6">
        <v>0</v>
      </c>
      <c r="R22" s="6">
        <v>0</v>
      </c>
      <c r="S22" s="6">
        <v>0</v>
      </c>
      <c r="T22" s="6">
        <v>0</v>
      </c>
      <c r="U22" s="26">
        <v>0</v>
      </c>
    </row>
    <row r="23" spans="1:21" x14ac:dyDescent="0.2">
      <c r="A23" s="13" t="s">
        <v>140</v>
      </c>
      <c r="B23" s="25">
        <v>0</v>
      </c>
      <c r="C23" s="6">
        <v>0</v>
      </c>
      <c r="D23" s="6">
        <v>0</v>
      </c>
      <c r="E23" s="6">
        <v>0</v>
      </c>
      <c r="F23" s="6">
        <v>45.24</v>
      </c>
      <c r="G23" s="26">
        <v>0</v>
      </c>
      <c r="H23" s="25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  <c r="Q23" s="6">
        <v>72.239999999999995</v>
      </c>
      <c r="R23" s="6">
        <v>35.64</v>
      </c>
      <c r="S23" s="6">
        <v>0</v>
      </c>
      <c r="T23" s="6">
        <v>0</v>
      </c>
      <c r="U23" s="26">
        <v>0</v>
      </c>
    </row>
    <row r="24" spans="1:21" x14ac:dyDescent="0.2">
      <c r="A24" s="13" t="s">
        <v>125</v>
      </c>
      <c r="B24" s="25">
        <v>0</v>
      </c>
      <c r="C24" s="6">
        <v>0</v>
      </c>
      <c r="D24" s="6">
        <v>0</v>
      </c>
      <c r="E24" s="6">
        <v>0</v>
      </c>
      <c r="F24" s="6">
        <v>0</v>
      </c>
      <c r="G24" s="26">
        <v>0</v>
      </c>
      <c r="H24" s="25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6">
        <v>0.12</v>
      </c>
      <c r="R24" s="6">
        <v>0</v>
      </c>
      <c r="S24" s="6">
        <v>0</v>
      </c>
      <c r="T24" s="6">
        <v>0</v>
      </c>
      <c r="U24" s="26">
        <v>0</v>
      </c>
    </row>
    <row r="25" spans="1:21" x14ac:dyDescent="0.2">
      <c r="A25" s="15" t="s">
        <v>126</v>
      </c>
      <c r="B25" s="25">
        <v>0</v>
      </c>
      <c r="C25" s="6">
        <v>0</v>
      </c>
      <c r="D25" s="6">
        <v>0</v>
      </c>
      <c r="E25" s="6">
        <v>0</v>
      </c>
      <c r="F25" s="6">
        <v>0</v>
      </c>
      <c r="G25" s="26">
        <v>0</v>
      </c>
      <c r="H25" s="25">
        <v>0</v>
      </c>
      <c r="I25" s="6">
        <v>0</v>
      </c>
      <c r="J25" s="6">
        <v>0.12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26">
        <v>0</v>
      </c>
    </row>
    <row r="26" spans="1:21" x14ac:dyDescent="0.2">
      <c r="A26" s="13" t="s">
        <v>141</v>
      </c>
      <c r="B26" s="29">
        <v>0</v>
      </c>
      <c r="C26" s="30">
        <v>0</v>
      </c>
      <c r="D26" s="30">
        <v>0</v>
      </c>
      <c r="E26" s="30">
        <v>0</v>
      </c>
      <c r="F26" s="30">
        <v>0</v>
      </c>
      <c r="G26" s="31">
        <v>0</v>
      </c>
      <c r="H26" s="29">
        <v>0</v>
      </c>
      <c r="I26" s="30">
        <v>0</v>
      </c>
      <c r="J26" s="30">
        <v>0.92</v>
      </c>
      <c r="K26" s="30">
        <v>0</v>
      </c>
      <c r="L26" s="30">
        <v>0</v>
      </c>
      <c r="M26" s="30">
        <v>0</v>
      </c>
      <c r="N26" s="30">
        <v>0</v>
      </c>
      <c r="O26" s="30">
        <v>0</v>
      </c>
      <c r="P26" s="30">
        <v>0</v>
      </c>
      <c r="Q26" s="30">
        <v>0</v>
      </c>
      <c r="R26" s="30">
        <v>0</v>
      </c>
      <c r="S26" s="30">
        <v>0</v>
      </c>
      <c r="T26" s="30">
        <v>0</v>
      </c>
      <c r="U26" s="31">
        <v>0</v>
      </c>
    </row>
  </sheetData>
  <sortState xmlns:xlrd2="http://schemas.microsoft.com/office/spreadsheetml/2017/richdata2" ref="A3:U26">
    <sortCondition ref="A3:A26"/>
  </sortState>
  <mergeCells count="2">
    <mergeCell ref="B1:G1"/>
    <mergeCell ref="H1:U1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W27"/>
  <sheetViews>
    <sheetView workbookViewId="0">
      <selection activeCell="I4" sqref="I4"/>
    </sheetView>
  </sheetViews>
  <sheetFormatPr baseColWidth="10" defaultColWidth="8.83203125" defaultRowHeight="18" x14ac:dyDescent="0.2"/>
  <cols>
    <col min="1" max="1" width="79.83203125" style="45" customWidth="1"/>
    <col min="2" max="21" width="9.83203125" style="45" customWidth="1"/>
    <col min="22" max="22" width="8.6640625" style="45" customWidth="1"/>
    <col min="23" max="23" width="10" style="45" customWidth="1"/>
    <col min="24" max="24" width="9.6640625" style="45" customWidth="1"/>
    <col min="25" max="25" width="9.1640625" style="45" customWidth="1"/>
    <col min="26" max="26" width="9.83203125" style="45" bestFit="1" customWidth="1"/>
    <col min="27" max="28" width="9" style="45" bestFit="1" customWidth="1"/>
    <col min="29" max="16384" width="8.83203125" style="45"/>
  </cols>
  <sheetData>
    <row r="1" spans="1:23" s="17" customFormat="1" x14ac:dyDescent="0.2">
      <c r="B1" s="90" t="s">
        <v>26</v>
      </c>
      <c r="C1" s="91"/>
      <c r="D1" s="91"/>
      <c r="E1" s="91"/>
      <c r="F1" s="91"/>
      <c r="G1" s="92"/>
      <c r="H1" s="90" t="s">
        <v>27</v>
      </c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2"/>
      <c r="V1" s="44"/>
      <c r="W1" s="44"/>
    </row>
    <row r="2" spans="1:23" x14ac:dyDescent="0.2">
      <c r="A2" s="17" t="s">
        <v>100</v>
      </c>
      <c r="B2" s="48" t="s">
        <v>1</v>
      </c>
      <c r="C2" s="49" t="s">
        <v>2</v>
      </c>
      <c r="D2" s="49" t="s">
        <v>3</v>
      </c>
      <c r="E2" s="49" t="s">
        <v>4</v>
      </c>
      <c r="F2" s="49" t="s">
        <v>5</v>
      </c>
      <c r="G2" s="50" t="s">
        <v>6</v>
      </c>
      <c r="H2" s="48" t="s">
        <v>7</v>
      </c>
      <c r="I2" s="49" t="s">
        <v>8</v>
      </c>
      <c r="J2" s="49" t="s">
        <v>9</v>
      </c>
      <c r="K2" s="49" t="s">
        <v>10</v>
      </c>
      <c r="L2" s="49" t="s">
        <v>11</v>
      </c>
      <c r="M2" s="49" t="s">
        <v>12</v>
      </c>
      <c r="N2" s="49" t="s">
        <v>13</v>
      </c>
      <c r="O2" s="49" t="s">
        <v>14</v>
      </c>
      <c r="P2" s="49" t="s">
        <v>15</v>
      </c>
      <c r="Q2" s="49" t="s">
        <v>16</v>
      </c>
      <c r="R2" s="49" t="s">
        <v>17</v>
      </c>
      <c r="S2" s="49" t="s">
        <v>18</v>
      </c>
      <c r="T2" s="49" t="s">
        <v>19</v>
      </c>
      <c r="U2" s="50" t="s">
        <v>20</v>
      </c>
    </row>
    <row r="3" spans="1:23" x14ac:dyDescent="0.2">
      <c r="A3" s="13" t="s">
        <v>162</v>
      </c>
      <c r="B3" s="51">
        <f>53.88/2</f>
        <v>26.94</v>
      </c>
      <c r="C3" s="47">
        <f>137.48/2</f>
        <v>68.739999999999995</v>
      </c>
      <c r="D3" s="47">
        <f>13.28/2</f>
        <v>6.64</v>
      </c>
      <c r="E3" s="47">
        <f>347.72/2</f>
        <v>173.86</v>
      </c>
      <c r="F3" s="47">
        <f>296.36/2</f>
        <v>148.18</v>
      </c>
      <c r="G3" s="52">
        <f>838.08/2</f>
        <v>419.04</v>
      </c>
      <c r="H3" s="51">
        <f>4.92/2</f>
        <v>2.46</v>
      </c>
      <c r="I3" s="47">
        <v>0</v>
      </c>
      <c r="J3" s="47">
        <f>98.8/2</f>
        <v>49.4</v>
      </c>
      <c r="K3" s="47">
        <f>0.4/2</f>
        <v>0.2</v>
      </c>
      <c r="L3" s="47">
        <f>8.24/2</f>
        <v>4.12</v>
      </c>
      <c r="M3" s="47">
        <f>13.88/2</f>
        <v>6.94</v>
      </c>
      <c r="N3" s="47">
        <f>43.04/2</f>
        <v>21.52</v>
      </c>
      <c r="O3" s="47">
        <f>11.64/2</f>
        <v>5.82</v>
      </c>
      <c r="P3" s="47">
        <f>797.76/2</f>
        <v>398.88</v>
      </c>
      <c r="Q3" s="47">
        <f>900.4/2</f>
        <v>450.2</v>
      </c>
      <c r="R3" s="47">
        <f>1096.56/2</f>
        <v>548.28</v>
      </c>
      <c r="S3" s="47">
        <f>414.4/2</f>
        <v>207.2</v>
      </c>
      <c r="T3" s="47">
        <f>708.52/2</f>
        <v>354.26</v>
      </c>
      <c r="U3" s="52">
        <f>1027.2/2</f>
        <v>513.6</v>
      </c>
    </row>
    <row r="4" spans="1:23" x14ac:dyDescent="0.2">
      <c r="A4" s="13" t="s">
        <v>103</v>
      </c>
      <c r="B4" s="51">
        <v>13.44</v>
      </c>
      <c r="C4" s="47">
        <v>12.76</v>
      </c>
      <c r="D4" s="47">
        <v>0.96</v>
      </c>
      <c r="E4" s="47">
        <v>15.92</v>
      </c>
      <c r="F4" s="47">
        <v>0</v>
      </c>
      <c r="G4" s="52">
        <v>0</v>
      </c>
      <c r="H4" s="51">
        <v>0</v>
      </c>
      <c r="I4" s="47">
        <v>3.52</v>
      </c>
      <c r="J4" s="47">
        <v>15.24</v>
      </c>
      <c r="K4" s="47">
        <v>0</v>
      </c>
      <c r="L4" s="47">
        <v>0</v>
      </c>
      <c r="M4" s="47">
        <v>0</v>
      </c>
      <c r="N4" s="47">
        <v>3.6</v>
      </c>
      <c r="O4" s="47">
        <v>0</v>
      </c>
      <c r="P4" s="47">
        <v>1.2</v>
      </c>
      <c r="Q4" s="47">
        <v>0</v>
      </c>
      <c r="R4" s="47">
        <v>0</v>
      </c>
      <c r="S4" s="47">
        <v>0</v>
      </c>
      <c r="T4" s="47">
        <v>0.52</v>
      </c>
      <c r="U4" s="52">
        <v>0</v>
      </c>
    </row>
    <row r="5" spans="1:23" x14ac:dyDescent="0.2">
      <c r="A5" s="13" t="s">
        <v>104</v>
      </c>
      <c r="B5" s="51">
        <v>0</v>
      </c>
      <c r="C5" s="47">
        <v>0</v>
      </c>
      <c r="D5" s="47">
        <v>0</v>
      </c>
      <c r="E5" s="47">
        <v>0</v>
      </c>
      <c r="F5" s="47">
        <v>0</v>
      </c>
      <c r="G5" s="52">
        <v>0</v>
      </c>
      <c r="H5" s="51">
        <v>0</v>
      </c>
      <c r="I5" s="47">
        <v>0</v>
      </c>
      <c r="J5" s="47">
        <v>0</v>
      </c>
      <c r="K5" s="47">
        <v>0.01</v>
      </c>
      <c r="L5" s="47">
        <v>0</v>
      </c>
      <c r="M5" s="47">
        <v>0</v>
      </c>
      <c r="N5" s="47">
        <v>0.01</v>
      </c>
      <c r="O5" s="47">
        <v>0</v>
      </c>
      <c r="P5" s="47">
        <v>0</v>
      </c>
      <c r="Q5" s="47">
        <v>0</v>
      </c>
      <c r="R5" s="47">
        <v>0</v>
      </c>
      <c r="S5" s="47">
        <v>0.01</v>
      </c>
      <c r="T5" s="47">
        <v>0</v>
      </c>
      <c r="U5" s="52">
        <v>0</v>
      </c>
    </row>
    <row r="6" spans="1:23" x14ac:dyDescent="0.2">
      <c r="A6" s="13" t="s">
        <v>139</v>
      </c>
      <c r="B6" s="51">
        <v>0</v>
      </c>
      <c r="C6" s="47">
        <v>0</v>
      </c>
      <c r="D6" s="47">
        <v>0</v>
      </c>
      <c r="E6" s="47">
        <v>0</v>
      </c>
      <c r="F6" s="47">
        <v>0.01</v>
      </c>
      <c r="G6" s="52">
        <v>0</v>
      </c>
      <c r="H6" s="51">
        <v>0</v>
      </c>
      <c r="I6" s="47">
        <v>0</v>
      </c>
      <c r="J6" s="47">
        <v>0</v>
      </c>
      <c r="K6" s="47">
        <v>0</v>
      </c>
      <c r="L6" s="47">
        <v>0</v>
      </c>
      <c r="M6" s="47">
        <v>0</v>
      </c>
      <c r="N6" s="47">
        <v>0</v>
      </c>
      <c r="O6" s="47">
        <v>0</v>
      </c>
      <c r="P6" s="47">
        <v>0</v>
      </c>
      <c r="Q6" s="47">
        <v>0</v>
      </c>
      <c r="R6" s="47">
        <v>0</v>
      </c>
      <c r="S6" s="47">
        <v>0</v>
      </c>
      <c r="T6" s="47">
        <v>0</v>
      </c>
      <c r="U6" s="52">
        <v>0</v>
      </c>
    </row>
    <row r="7" spans="1:23" x14ac:dyDescent="0.2">
      <c r="A7" s="13" t="s">
        <v>106</v>
      </c>
      <c r="B7" s="51">
        <v>0.01</v>
      </c>
      <c r="C7" s="47">
        <v>0</v>
      </c>
      <c r="D7" s="47">
        <v>0.01</v>
      </c>
      <c r="E7" s="47">
        <v>0.01</v>
      </c>
      <c r="F7" s="47">
        <v>0.01</v>
      </c>
      <c r="G7" s="52">
        <v>0</v>
      </c>
      <c r="H7" s="51">
        <v>0</v>
      </c>
      <c r="I7" s="47">
        <v>0</v>
      </c>
      <c r="J7" s="47">
        <v>0</v>
      </c>
      <c r="K7" s="47">
        <v>0</v>
      </c>
      <c r="L7" s="47">
        <v>0</v>
      </c>
      <c r="M7" s="47">
        <v>0</v>
      </c>
      <c r="N7" s="47">
        <v>0</v>
      </c>
      <c r="O7" s="47">
        <v>0</v>
      </c>
      <c r="P7" s="47">
        <v>0</v>
      </c>
      <c r="Q7" s="47">
        <v>0</v>
      </c>
      <c r="R7" s="47">
        <v>0</v>
      </c>
      <c r="S7" s="47">
        <v>0</v>
      </c>
      <c r="T7" s="47">
        <v>0</v>
      </c>
      <c r="U7" s="52">
        <v>0</v>
      </c>
    </row>
    <row r="8" spans="1:23" x14ac:dyDescent="0.2">
      <c r="A8" s="13" t="s">
        <v>107</v>
      </c>
      <c r="B8" s="51">
        <v>2.2799999999999998</v>
      </c>
      <c r="C8" s="47">
        <v>7.64</v>
      </c>
      <c r="D8" s="47">
        <v>7.2</v>
      </c>
      <c r="E8" s="47">
        <v>3.04</v>
      </c>
      <c r="F8" s="47">
        <v>0</v>
      </c>
      <c r="G8" s="52">
        <v>0</v>
      </c>
      <c r="H8" s="51">
        <v>0</v>
      </c>
      <c r="I8" s="47">
        <v>0</v>
      </c>
      <c r="J8" s="47">
        <v>0</v>
      </c>
      <c r="K8" s="47">
        <v>0</v>
      </c>
      <c r="L8" s="47">
        <v>0</v>
      </c>
      <c r="M8" s="47">
        <v>0</v>
      </c>
      <c r="N8" s="47">
        <v>0</v>
      </c>
      <c r="O8" s="47">
        <v>0</v>
      </c>
      <c r="P8" s="47">
        <v>0</v>
      </c>
      <c r="Q8" s="47">
        <v>0</v>
      </c>
      <c r="R8" s="47">
        <v>0</v>
      </c>
      <c r="S8" s="47">
        <v>0</v>
      </c>
      <c r="T8" s="47">
        <v>0</v>
      </c>
      <c r="U8" s="52">
        <v>0</v>
      </c>
    </row>
    <row r="9" spans="1:23" x14ac:dyDescent="0.2">
      <c r="A9" s="23" t="s">
        <v>159</v>
      </c>
      <c r="B9" s="51">
        <v>0.01</v>
      </c>
      <c r="C9" s="47">
        <v>0</v>
      </c>
      <c r="D9" s="47">
        <v>0</v>
      </c>
      <c r="E9" s="47">
        <v>0</v>
      </c>
      <c r="F9" s="47">
        <v>0</v>
      </c>
      <c r="G9" s="52">
        <v>0</v>
      </c>
      <c r="H9" s="51">
        <v>0</v>
      </c>
      <c r="I9" s="47">
        <v>0</v>
      </c>
      <c r="J9" s="47">
        <v>0</v>
      </c>
      <c r="K9" s="47">
        <v>0</v>
      </c>
      <c r="L9" s="47">
        <v>0</v>
      </c>
      <c r="M9" s="47">
        <v>0</v>
      </c>
      <c r="N9" s="47">
        <v>0</v>
      </c>
      <c r="O9" s="47">
        <v>0</v>
      </c>
      <c r="P9" s="47">
        <v>0</v>
      </c>
      <c r="Q9" s="47">
        <v>0</v>
      </c>
      <c r="R9" s="47">
        <v>0</v>
      </c>
      <c r="S9" s="47">
        <v>0</v>
      </c>
      <c r="T9" s="47">
        <v>0</v>
      </c>
      <c r="U9" s="52">
        <v>0</v>
      </c>
    </row>
    <row r="10" spans="1:23" x14ac:dyDescent="0.2">
      <c r="A10" s="13" t="s">
        <v>109</v>
      </c>
      <c r="B10" s="51">
        <v>0.01</v>
      </c>
      <c r="C10" s="47">
        <v>17.48</v>
      </c>
      <c r="D10" s="47">
        <v>0.28000000000000003</v>
      </c>
      <c r="E10" s="47">
        <v>0</v>
      </c>
      <c r="F10" s="47">
        <v>0</v>
      </c>
      <c r="G10" s="52">
        <v>0</v>
      </c>
      <c r="H10" s="51">
        <v>0</v>
      </c>
      <c r="I10" s="47">
        <v>0</v>
      </c>
      <c r="J10" s="47">
        <v>0</v>
      </c>
      <c r="K10" s="47">
        <v>0</v>
      </c>
      <c r="L10" s="47">
        <v>0</v>
      </c>
      <c r="M10" s="47">
        <v>0</v>
      </c>
      <c r="N10" s="47">
        <v>0</v>
      </c>
      <c r="O10" s="47">
        <v>0</v>
      </c>
      <c r="P10" s="47">
        <v>0</v>
      </c>
      <c r="Q10" s="47">
        <v>0</v>
      </c>
      <c r="R10" s="47">
        <v>0</v>
      </c>
      <c r="S10" s="47">
        <v>0</v>
      </c>
      <c r="T10" s="47">
        <v>0</v>
      </c>
      <c r="U10" s="52">
        <v>0</v>
      </c>
    </row>
    <row r="11" spans="1:23" x14ac:dyDescent="0.2">
      <c r="A11" s="13" t="s">
        <v>110</v>
      </c>
      <c r="B11" s="51">
        <v>449.2</v>
      </c>
      <c r="C11" s="47">
        <v>42.6</v>
      </c>
      <c r="D11" s="47">
        <v>622.52</v>
      </c>
      <c r="E11" s="47">
        <v>179.2</v>
      </c>
      <c r="F11" s="47">
        <v>47.68</v>
      </c>
      <c r="G11" s="52">
        <v>0.52</v>
      </c>
      <c r="H11" s="51">
        <v>429.4</v>
      </c>
      <c r="I11" s="47">
        <v>601.88</v>
      </c>
      <c r="J11" s="47">
        <v>6.44</v>
      </c>
      <c r="K11" s="47">
        <v>753.6</v>
      </c>
      <c r="L11" s="47">
        <v>795</v>
      </c>
      <c r="M11" s="47">
        <v>613.67999999999995</v>
      </c>
      <c r="N11" s="47">
        <v>180.44</v>
      </c>
      <c r="O11" s="47">
        <v>595.20000000000005</v>
      </c>
      <c r="P11" s="47">
        <v>36.32</v>
      </c>
      <c r="Q11" s="47">
        <v>15.08</v>
      </c>
      <c r="R11" s="47">
        <v>20.399999999999999</v>
      </c>
      <c r="S11" s="47">
        <v>153.36000000000001</v>
      </c>
      <c r="T11" s="47">
        <v>434.28</v>
      </c>
      <c r="U11" s="52">
        <v>22.96</v>
      </c>
    </row>
    <row r="12" spans="1:23" x14ac:dyDescent="0.2">
      <c r="A12" s="13" t="s">
        <v>111</v>
      </c>
      <c r="B12" s="51">
        <v>0</v>
      </c>
      <c r="C12" s="47">
        <v>6.96</v>
      </c>
      <c r="D12" s="47">
        <v>0.48</v>
      </c>
      <c r="E12" s="47">
        <v>2.44</v>
      </c>
      <c r="F12" s="47">
        <v>0</v>
      </c>
      <c r="G12" s="52">
        <v>0</v>
      </c>
      <c r="H12" s="51">
        <v>0</v>
      </c>
      <c r="I12" s="47">
        <v>0</v>
      </c>
      <c r="J12" s="47">
        <v>0</v>
      </c>
      <c r="K12" s="47">
        <v>0</v>
      </c>
      <c r="L12" s="47">
        <v>0</v>
      </c>
      <c r="M12" s="47">
        <v>1.84</v>
      </c>
      <c r="N12" s="47">
        <v>0</v>
      </c>
      <c r="O12" s="47">
        <v>1.2</v>
      </c>
      <c r="P12" s="47">
        <v>0</v>
      </c>
      <c r="Q12" s="47">
        <v>0</v>
      </c>
      <c r="R12" s="47">
        <v>0</v>
      </c>
      <c r="S12" s="47">
        <v>13.24</v>
      </c>
      <c r="T12" s="47">
        <v>4.92</v>
      </c>
      <c r="U12" s="52">
        <v>12.68</v>
      </c>
    </row>
    <row r="13" spans="1:23" x14ac:dyDescent="0.2">
      <c r="A13" s="13" t="s">
        <v>112</v>
      </c>
      <c r="B13" s="51">
        <v>0</v>
      </c>
      <c r="C13" s="47">
        <f>7.36/2</f>
        <v>3.68</v>
      </c>
      <c r="D13" s="47">
        <v>0</v>
      </c>
      <c r="E13" s="47">
        <v>0</v>
      </c>
      <c r="F13" s="47">
        <f>107.48/2</f>
        <v>53.74</v>
      </c>
      <c r="G13" s="52">
        <f>2.32/2</f>
        <v>1.1599999999999999</v>
      </c>
      <c r="H13" s="51">
        <v>0</v>
      </c>
      <c r="I13" s="47">
        <f>7.88/2</f>
        <v>3.94</v>
      </c>
      <c r="J13" s="47">
        <v>0</v>
      </c>
      <c r="K13" s="47">
        <f>7.52/2</f>
        <v>3.76</v>
      </c>
      <c r="L13" s="47">
        <f>0.76/2</f>
        <v>0.38</v>
      </c>
      <c r="M13" s="47">
        <v>0</v>
      </c>
      <c r="N13" s="47">
        <v>0</v>
      </c>
      <c r="O13" s="47">
        <v>0</v>
      </c>
      <c r="P13" s="47">
        <f>11.92/2</f>
        <v>5.96</v>
      </c>
      <c r="Q13" s="47">
        <f>1.8/2</f>
        <v>0.9</v>
      </c>
      <c r="R13" s="47">
        <f>3.12/2</f>
        <v>1.56</v>
      </c>
      <c r="S13" s="47">
        <f>4.32/2</f>
        <v>2.16</v>
      </c>
      <c r="T13" s="47">
        <f>3.28/2</f>
        <v>1.64</v>
      </c>
      <c r="U13" s="52">
        <v>0</v>
      </c>
    </row>
    <row r="14" spans="1:23" x14ac:dyDescent="0.2">
      <c r="A14" s="13" t="s">
        <v>114</v>
      </c>
      <c r="B14" s="51">
        <v>0</v>
      </c>
      <c r="C14" s="47">
        <f>7.36/2</f>
        <v>3.68</v>
      </c>
      <c r="D14" s="47">
        <v>0</v>
      </c>
      <c r="E14" s="47">
        <v>0</v>
      </c>
      <c r="F14" s="47">
        <f>107.48/2</f>
        <v>53.74</v>
      </c>
      <c r="G14" s="52">
        <f>2.32/2</f>
        <v>1.1599999999999999</v>
      </c>
      <c r="H14" s="51">
        <v>0</v>
      </c>
      <c r="I14" s="47">
        <f>7.88/2</f>
        <v>3.94</v>
      </c>
      <c r="J14" s="47">
        <v>0</v>
      </c>
      <c r="K14" s="47">
        <f>7.52/2</f>
        <v>3.76</v>
      </c>
      <c r="L14" s="47">
        <f>0.76/2</f>
        <v>0.38</v>
      </c>
      <c r="M14" s="47">
        <v>0</v>
      </c>
      <c r="N14" s="47">
        <v>0</v>
      </c>
      <c r="O14" s="47">
        <v>0</v>
      </c>
      <c r="P14" s="47">
        <f>11.92/2</f>
        <v>5.96</v>
      </c>
      <c r="Q14" s="47">
        <f>1.8/2</f>
        <v>0.9</v>
      </c>
      <c r="R14" s="47">
        <f>3.12/2</f>
        <v>1.56</v>
      </c>
      <c r="S14" s="47">
        <f>4.32/2</f>
        <v>2.16</v>
      </c>
      <c r="T14" s="47">
        <f>3.28/2</f>
        <v>1.64</v>
      </c>
      <c r="U14" s="52">
        <v>0</v>
      </c>
    </row>
    <row r="15" spans="1:23" x14ac:dyDescent="0.2">
      <c r="A15" s="13" t="s">
        <v>116</v>
      </c>
      <c r="B15" s="51">
        <v>0</v>
      </c>
      <c r="C15" s="47">
        <v>0</v>
      </c>
      <c r="D15" s="47">
        <v>0</v>
      </c>
      <c r="E15" s="47">
        <v>0.01</v>
      </c>
      <c r="F15" s="47">
        <v>0</v>
      </c>
      <c r="G15" s="52">
        <v>0</v>
      </c>
      <c r="H15" s="51">
        <v>0.01</v>
      </c>
      <c r="I15" s="47">
        <v>0</v>
      </c>
      <c r="J15" s="47">
        <v>0.8</v>
      </c>
      <c r="K15" s="47">
        <v>19.64</v>
      </c>
      <c r="L15" s="47">
        <v>36</v>
      </c>
      <c r="M15" s="47">
        <v>11.8</v>
      </c>
      <c r="N15" s="47">
        <v>0</v>
      </c>
      <c r="O15" s="47">
        <v>0</v>
      </c>
      <c r="P15" s="47">
        <v>0</v>
      </c>
      <c r="Q15" s="47">
        <v>0.01</v>
      </c>
      <c r="R15" s="47">
        <v>0.01</v>
      </c>
      <c r="S15" s="47">
        <v>1.48</v>
      </c>
      <c r="T15" s="47">
        <v>0.01</v>
      </c>
      <c r="U15" s="52">
        <v>0.12</v>
      </c>
    </row>
    <row r="16" spans="1:23" x14ac:dyDescent="0.2">
      <c r="A16" s="45" t="s">
        <v>160</v>
      </c>
      <c r="B16" s="51">
        <v>0</v>
      </c>
      <c r="C16" s="47">
        <v>0</v>
      </c>
      <c r="D16" s="47">
        <v>0</v>
      </c>
      <c r="E16" s="47">
        <v>0</v>
      </c>
      <c r="F16" s="47">
        <v>0.01</v>
      </c>
      <c r="G16" s="52">
        <v>0</v>
      </c>
      <c r="H16" s="51">
        <v>0</v>
      </c>
      <c r="I16" s="47">
        <v>0</v>
      </c>
      <c r="J16" s="47">
        <v>0</v>
      </c>
      <c r="K16" s="47">
        <v>0</v>
      </c>
      <c r="L16" s="47">
        <v>0</v>
      </c>
      <c r="M16" s="47">
        <v>0</v>
      </c>
      <c r="N16" s="47">
        <v>0</v>
      </c>
      <c r="O16" s="47">
        <v>0</v>
      </c>
      <c r="P16" s="47">
        <v>0</v>
      </c>
      <c r="Q16" s="47">
        <v>0</v>
      </c>
      <c r="R16" s="47">
        <v>0</v>
      </c>
      <c r="S16" s="47">
        <v>0.01</v>
      </c>
      <c r="T16" s="47">
        <v>0</v>
      </c>
      <c r="U16" s="52">
        <v>0</v>
      </c>
    </row>
    <row r="17" spans="1:21" x14ac:dyDescent="0.2">
      <c r="A17" s="13" t="s">
        <v>119</v>
      </c>
      <c r="B17" s="51">
        <v>0</v>
      </c>
      <c r="C17" s="47">
        <v>0</v>
      </c>
      <c r="D17" s="47">
        <v>1.28</v>
      </c>
      <c r="E17" s="47">
        <v>0.12</v>
      </c>
      <c r="F17" s="47">
        <v>3.64</v>
      </c>
      <c r="G17" s="52">
        <v>0</v>
      </c>
      <c r="H17" s="51">
        <v>0.01</v>
      </c>
      <c r="I17" s="47">
        <v>0</v>
      </c>
      <c r="J17" s="47">
        <v>0.01</v>
      </c>
      <c r="K17" s="47">
        <v>0</v>
      </c>
      <c r="L17" s="47">
        <v>0</v>
      </c>
      <c r="M17" s="47">
        <v>0</v>
      </c>
      <c r="N17" s="47">
        <v>0.01</v>
      </c>
      <c r="O17" s="47">
        <v>0</v>
      </c>
      <c r="P17" s="47">
        <v>0</v>
      </c>
      <c r="Q17" s="47">
        <v>0</v>
      </c>
      <c r="R17" s="47">
        <v>0</v>
      </c>
      <c r="S17" s="47">
        <v>0.96</v>
      </c>
      <c r="T17" s="47">
        <v>0</v>
      </c>
      <c r="U17" s="52">
        <v>0.01</v>
      </c>
    </row>
    <row r="18" spans="1:21" x14ac:dyDescent="0.2">
      <c r="A18" s="13" t="s">
        <v>152</v>
      </c>
      <c r="B18" s="51">
        <v>0</v>
      </c>
      <c r="C18" s="47">
        <v>0</v>
      </c>
      <c r="D18" s="47">
        <v>0</v>
      </c>
      <c r="E18" s="47">
        <v>0</v>
      </c>
      <c r="F18" s="47">
        <v>0</v>
      </c>
      <c r="G18" s="52">
        <v>0</v>
      </c>
      <c r="H18" s="51">
        <v>0</v>
      </c>
      <c r="I18" s="47">
        <v>0</v>
      </c>
      <c r="J18" s="47">
        <v>0</v>
      </c>
      <c r="K18" s="47">
        <v>0</v>
      </c>
      <c r="L18" s="47">
        <v>0</v>
      </c>
      <c r="M18" s="47">
        <v>0</v>
      </c>
      <c r="N18" s="47">
        <v>0</v>
      </c>
      <c r="O18" s="47">
        <v>0.01</v>
      </c>
      <c r="P18" s="47">
        <v>0</v>
      </c>
      <c r="Q18" s="47">
        <v>0</v>
      </c>
      <c r="R18" s="47">
        <v>0</v>
      </c>
      <c r="S18" s="47">
        <v>0</v>
      </c>
      <c r="T18" s="47">
        <v>0</v>
      </c>
      <c r="U18" s="52">
        <v>0</v>
      </c>
    </row>
    <row r="19" spans="1:21" x14ac:dyDescent="0.2">
      <c r="A19" s="13" t="s">
        <v>121</v>
      </c>
      <c r="B19" s="51">
        <v>0</v>
      </c>
      <c r="C19" s="47">
        <v>0</v>
      </c>
      <c r="D19" s="47">
        <v>0</v>
      </c>
      <c r="E19" s="47">
        <v>0</v>
      </c>
      <c r="F19" s="47">
        <v>0</v>
      </c>
      <c r="G19" s="52">
        <v>0</v>
      </c>
      <c r="H19" s="51">
        <v>0.01</v>
      </c>
      <c r="I19" s="47">
        <v>0</v>
      </c>
      <c r="J19" s="47">
        <v>0</v>
      </c>
      <c r="K19" s="47">
        <v>0</v>
      </c>
      <c r="L19" s="47">
        <v>0</v>
      </c>
      <c r="M19" s="47">
        <v>0</v>
      </c>
      <c r="N19" s="47">
        <v>0.01</v>
      </c>
      <c r="O19" s="47">
        <v>0</v>
      </c>
      <c r="P19" s="47">
        <v>0</v>
      </c>
      <c r="Q19" s="47">
        <v>0</v>
      </c>
      <c r="R19" s="47">
        <v>0</v>
      </c>
      <c r="S19" s="47">
        <v>0</v>
      </c>
      <c r="T19" s="47">
        <v>0</v>
      </c>
      <c r="U19" s="52">
        <v>0</v>
      </c>
    </row>
    <row r="20" spans="1:21" x14ac:dyDescent="0.2">
      <c r="A20" s="13" t="s">
        <v>122</v>
      </c>
      <c r="B20" s="51">
        <v>0</v>
      </c>
      <c r="C20" s="47">
        <v>0</v>
      </c>
      <c r="D20" s="47">
        <v>0</v>
      </c>
      <c r="E20" s="47">
        <v>0.24</v>
      </c>
      <c r="F20" s="47">
        <v>0</v>
      </c>
      <c r="G20" s="52">
        <v>0</v>
      </c>
      <c r="H20" s="51">
        <v>0</v>
      </c>
      <c r="I20" s="47">
        <v>0</v>
      </c>
      <c r="J20" s="47">
        <v>0</v>
      </c>
      <c r="K20" s="47">
        <v>0</v>
      </c>
      <c r="L20" s="47">
        <v>0</v>
      </c>
      <c r="M20" s="47">
        <v>0</v>
      </c>
      <c r="N20" s="47">
        <v>0</v>
      </c>
      <c r="O20" s="47">
        <v>0</v>
      </c>
      <c r="P20" s="47">
        <v>0</v>
      </c>
      <c r="Q20" s="47">
        <v>0</v>
      </c>
      <c r="R20" s="47">
        <v>0</v>
      </c>
      <c r="S20" s="47">
        <v>0</v>
      </c>
      <c r="T20" s="47">
        <v>0</v>
      </c>
      <c r="U20" s="52">
        <v>0</v>
      </c>
    </row>
    <row r="21" spans="1:21" x14ac:dyDescent="0.2">
      <c r="A21" s="13" t="s">
        <v>161</v>
      </c>
      <c r="B21" s="51">
        <f>53.88/2</f>
        <v>26.94</v>
      </c>
      <c r="C21" s="47">
        <f>137.48/2</f>
        <v>68.739999999999995</v>
      </c>
      <c r="D21" s="47">
        <f>13.28/2</f>
        <v>6.64</v>
      </c>
      <c r="E21" s="47">
        <f>347.72/2</f>
        <v>173.86</v>
      </c>
      <c r="F21" s="47">
        <f>296.36/2</f>
        <v>148.18</v>
      </c>
      <c r="G21" s="52">
        <f>838.08/2</f>
        <v>419.04</v>
      </c>
      <c r="H21" s="51">
        <f>4.92/2</f>
        <v>2.46</v>
      </c>
      <c r="I21" s="47">
        <v>0</v>
      </c>
      <c r="J21" s="47">
        <f>98.8/2</f>
        <v>49.4</v>
      </c>
      <c r="K21" s="47">
        <f>0.4/2</f>
        <v>0.2</v>
      </c>
      <c r="L21" s="47">
        <f>8.24/2</f>
        <v>4.12</v>
      </c>
      <c r="M21" s="47">
        <f>13.88/2</f>
        <v>6.94</v>
      </c>
      <c r="N21" s="47">
        <f>43.04/2</f>
        <v>21.52</v>
      </c>
      <c r="O21" s="47">
        <f>11.64/2</f>
        <v>5.82</v>
      </c>
      <c r="P21" s="47">
        <f>797.76/2</f>
        <v>398.88</v>
      </c>
      <c r="Q21" s="47">
        <f>900.4/2</f>
        <v>450.2</v>
      </c>
      <c r="R21" s="47">
        <f>1096.56/2</f>
        <v>548.28</v>
      </c>
      <c r="S21" s="47">
        <f>414.4/2</f>
        <v>207.2</v>
      </c>
      <c r="T21" s="47">
        <f>708.52/2</f>
        <v>354.26</v>
      </c>
      <c r="U21" s="52">
        <f>1027.2/2</f>
        <v>513.6</v>
      </c>
    </row>
    <row r="22" spans="1:21" x14ac:dyDescent="0.2">
      <c r="A22" s="13" t="s">
        <v>123</v>
      </c>
      <c r="B22" s="51">
        <v>67.72</v>
      </c>
      <c r="C22" s="47">
        <v>0.01</v>
      </c>
      <c r="D22" s="47">
        <v>69.08</v>
      </c>
      <c r="E22" s="47">
        <v>38.880000000000003</v>
      </c>
      <c r="F22" s="47">
        <v>0</v>
      </c>
      <c r="G22" s="52">
        <v>0</v>
      </c>
      <c r="H22" s="51">
        <v>56.12</v>
      </c>
      <c r="I22" s="47">
        <v>134.88</v>
      </c>
      <c r="J22" s="47">
        <v>65.599999999999994</v>
      </c>
      <c r="K22" s="47">
        <v>0</v>
      </c>
      <c r="L22" s="47">
        <v>0</v>
      </c>
      <c r="M22" s="47">
        <v>13.76</v>
      </c>
      <c r="N22" s="47">
        <v>173.64</v>
      </c>
      <c r="O22" s="47">
        <v>0.01</v>
      </c>
      <c r="P22" s="47">
        <v>0</v>
      </c>
      <c r="Q22" s="47">
        <v>0</v>
      </c>
      <c r="R22" s="47">
        <v>0</v>
      </c>
      <c r="S22" s="47">
        <v>0</v>
      </c>
      <c r="T22" s="47">
        <v>0</v>
      </c>
      <c r="U22" s="52">
        <v>0.01</v>
      </c>
    </row>
    <row r="23" spans="1:21" x14ac:dyDescent="0.2">
      <c r="A23" s="4" t="s">
        <v>80</v>
      </c>
      <c r="B23" s="51">
        <v>0</v>
      </c>
      <c r="C23" s="47">
        <v>6</v>
      </c>
      <c r="D23" s="47">
        <v>92.12</v>
      </c>
      <c r="E23" s="47">
        <v>40.08</v>
      </c>
      <c r="F23" s="47">
        <v>0</v>
      </c>
      <c r="G23" s="52">
        <v>0</v>
      </c>
      <c r="H23" s="51">
        <v>2.16</v>
      </c>
      <c r="I23" s="47">
        <v>0.96</v>
      </c>
      <c r="J23" s="47">
        <v>0</v>
      </c>
      <c r="K23" s="47">
        <v>0</v>
      </c>
      <c r="L23" s="47">
        <v>0</v>
      </c>
      <c r="M23" s="47">
        <v>0</v>
      </c>
      <c r="N23" s="47">
        <v>0</v>
      </c>
      <c r="O23" s="47">
        <v>0</v>
      </c>
      <c r="P23" s="47">
        <v>0</v>
      </c>
      <c r="Q23" s="47">
        <v>0</v>
      </c>
      <c r="R23" s="47">
        <v>0</v>
      </c>
      <c r="S23" s="47">
        <v>0</v>
      </c>
      <c r="T23" s="47">
        <v>0</v>
      </c>
      <c r="U23" s="52">
        <v>0</v>
      </c>
    </row>
    <row r="24" spans="1:21" x14ac:dyDescent="0.2">
      <c r="A24" s="13" t="s">
        <v>124</v>
      </c>
      <c r="B24" s="51">
        <v>0.01</v>
      </c>
      <c r="C24" s="47">
        <v>0</v>
      </c>
      <c r="D24" s="47">
        <v>109.12</v>
      </c>
      <c r="E24" s="47">
        <v>0</v>
      </c>
      <c r="F24" s="47">
        <v>0.01</v>
      </c>
      <c r="G24" s="52">
        <v>0</v>
      </c>
      <c r="H24" s="51">
        <v>0</v>
      </c>
      <c r="I24" s="47">
        <v>0</v>
      </c>
      <c r="J24" s="47">
        <v>0</v>
      </c>
      <c r="K24" s="47">
        <v>0</v>
      </c>
      <c r="L24" s="47">
        <v>0</v>
      </c>
      <c r="M24" s="47">
        <v>0</v>
      </c>
      <c r="N24" s="47">
        <v>0</v>
      </c>
      <c r="O24" s="47">
        <v>0</v>
      </c>
      <c r="P24" s="47">
        <v>0</v>
      </c>
      <c r="Q24" s="47">
        <v>0</v>
      </c>
      <c r="R24" s="47">
        <v>0</v>
      </c>
      <c r="S24" s="47">
        <v>0</v>
      </c>
      <c r="T24" s="47">
        <v>0</v>
      </c>
      <c r="U24" s="52">
        <v>0</v>
      </c>
    </row>
    <row r="25" spans="1:21" x14ac:dyDescent="0.2">
      <c r="A25" s="13" t="s">
        <v>125</v>
      </c>
      <c r="B25" s="51">
        <v>0</v>
      </c>
      <c r="C25" s="47">
        <v>0</v>
      </c>
      <c r="D25" s="47">
        <v>0</v>
      </c>
      <c r="E25" s="47">
        <v>1.84</v>
      </c>
      <c r="F25" s="47">
        <v>0</v>
      </c>
      <c r="G25" s="52">
        <v>2.92</v>
      </c>
      <c r="H25" s="51">
        <v>0</v>
      </c>
      <c r="I25" s="47">
        <v>0</v>
      </c>
      <c r="J25" s="47">
        <v>0</v>
      </c>
      <c r="K25" s="47">
        <v>0</v>
      </c>
      <c r="L25" s="47">
        <v>0</v>
      </c>
      <c r="M25" s="47">
        <v>0</v>
      </c>
      <c r="N25" s="47">
        <v>0</v>
      </c>
      <c r="O25" s="47">
        <v>0</v>
      </c>
      <c r="P25" s="47">
        <v>0</v>
      </c>
      <c r="Q25" s="47">
        <v>0</v>
      </c>
      <c r="R25" s="47">
        <v>0</v>
      </c>
      <c r="S25" s="47">
        <v>0</v>
      </c>
      <c r="T25" s="47">
        <v>0</v>
      </c>
      <c r="U25" s="52">
        <v>1.2</v>
      </c>
    </row>
    <row r="26" spans="1:21" x14ac:dyDescent="0.2">
      <c r="A26" s="13" t="s">
        <v>141</v>
      </c>
      <c r="B26" s="51">
        <v>0</v>
      </c>
      <c r="C26" s="47">
        <v>0</v>
      </c>
      <c r="D26" s="47">
        <v>0</v>
      </c>
      <c r="E26" s="47">
        <v>0</v>
      </c>
      <c r="F26" s="47">
        <v>313.64</v>
      </c>
      <c r="G26" s="52">
        <v>0</v>
      </c>
      <c r="H26" s="51">
        <v>0</v>
      </c>
      <c r="I26" s="47">
        <v>0</v>
      </c>
      <c r="J26" s="47">
        <v>0</v>
      </c>
      <c r="K26" s="47">
        <v>0</v>
      </c>
      <c r="L26" s="47">
        <v>0</v>
      </c>
      <c r="M26" s="47">
        <v>0</v>
      </c>
      <c r="N26" s="47">
        <v>0</v>
      </c>
      <c r="O26" s="47">
        <v>0</v>
      </c>
      <c r="P26" s="47">
        <v>0</v>
      </c>
      <c r="Q26" s="47">
        <v>0</v>
      </c>
      <c r="R26" s="47">
        <v>0</v>
      </c>
      <c r="S26" s="47">
        <v>0</v>
      </c>
      <c r="T26" s="47">
        <v>0</v>
      </c>
      <c r="U26" s="52">
        <v>0</v>
      </c>
    </row>
    <row r="27" spans="1:21" x14ac:dyDescent="0.2">
      <c r="A27" s="13" t="s">
        <v>143</v>
      </c>
      <c r="B27" s="53">
        <v>0</v>
      </c>
      <c r="C27" s="54">
        <v>299.24</v>
      </c>
      <c r="D27" s="54">
        <v>0</v>
      </c>
      <c r="E27" s="54">
        <v>0</v>
      </c>
      <c r="F27" s="54">
        <v>0</v>
      </c>
      <c r="G27" s="55">
        <v>0</v>
      </c>
      <c r="H27" s="53">
        <v>0</v>
      </c>
      <c r="I27" s="54">
        <v>0</v>
      </c>
      <c r="J27" s="54">
        <v>0</v>
      </c>
      <c r="K27" s="54">
        <v>0</v>
      </c>
      <c r="L27" s="54">
        <v>0</v>
      </c>
      <c r="M27" s="54">
        <v>0</v>
      </c>
      <c r="N27" s="54">
        <v>0</v>
      </c>
      <c r="O27" s="54">
        <v>0</v>
      </c>
      <c r="P27" s="54">
        <v>0</v>
      </c>
      <c r="Q27" s="54">
        <v>0</v>
      </c>
      <c r="R27" s="54">
        <v>0</v>
      </c>
      <c r="S27" s="54">
        <v>0</v>
      </c>
      <c r="T27" s="54">
        <v>0</v>
      </c>
      <c r="U27" s="55">
        <v>0</v>
      </c>
    </row>
  </sheetData>
  <sortState xmlns:xlrd2="http://schemas.microsoft.com/office/spreadsheetml/2017/richdata2" ref="A3:U27">
    <sortCondition ref="A3:A27"/>
  </sortState>
  <mergeCells count="2">
    <mergeCell ref="B1:G1"/>
    <mergeCell ref="H1:U1"/>
  </mergeCells>
  <phoneticPr fontId="2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U26"/>
  <sheetViews>
    <sheetView zoomScaleNormal="100" workbookViewId="0">
      <selection activeCell="B30" sqref="B30"/>
    </sheetView>
  </sheetViews>
  <sheetFormatPr baseColWidth="10" defaultColWidth="8.83203125" defaultRowHeight="18" x14ac:dyDescent="0.2"/>
  <cols>
    <col min="1" max="1" width="79.1640625" style="22" customWidth="1"/>
    <col min="2" max="21" width="9.83203125" style="45" customWidth="1"/>
    <col min="22" max="22" width="10.5" style="45" customWidth="1"/>
    <col min="23" max="27" width="9.1640625" style="45" customWidth="1"/>
    <col min="28" max="16384" width="8.83203125" style="45"/>
  </cols>
  <sheetData>
    <row r="1" spans="1:21" x14ac:dyDescent="0.2">
      <c r="B1" s="90" t="s">
        <v>26</v>
      </c>
      <c r="C1" s="91"/>
      <c r="D1" s="91"/>
      <c r="E1" s="91"/>
      <c r="F1" s="91"/>
      <c r="G1" s="92"/>
      <c r="H1" s="90" t="s">
        <v>27</v>
      </c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2"/>
    </row>
    <row r="2" spans="1:21" x14ac:dyDescent="0.2">
      <c r="A2" s="57" t="s">
        <v>0</v>
      </c>
      <c r="B2" s="48" t="s">
        <v>1</v>
      </c>
      <c r="C2" s="49" t="s">
        <v>2</v>
      </c>
      <c r="D2" s="49" t="s">
        <v>3</v>
      </c>
      <c r="E2" s="49" t="s">
        <v>4</v>
      </c>
      <c r="F2" s="49" t="s">
        <v>5</v>
      </c>
      <c r="G2" s="50" t="s">
        <v>6</v>
      </c>
      <c r="H2" s="48" t="s">
        <v>7</v>
      </c>
      <c r="I2" s="49" t="s">
        <v>8</v>
      </c>
      <c r="J2" s="49" t="s">
        <v>9</v>
      </c>
      <c r="K2" s="49" t="s">
        <v>10</v>
      </c>
      <c r="L2" s="49" t="s">
        <v>11</v>
      </c>
      <c r="M2" s="49" t="s">
        <v>12</v>
      </c>
      <c r="N2" s="49" t="s">
        <v>13</v>
      </c>
      <c r="O2" s="49" t="s">
        <v>14</v>
      </c>
      <c r="P2" s="49" t="s">
        <v>15</v>
      </c>
      <c r="Q2" s="49" t="s">
        <v>16</v>
      </c>
      <c r="R2" s="49" t="s">
        <v>17</v>
      </c>
      <c r="S2" s="49" t="s">
        <v>18</v>
      </c>
      <c r="T2" s="49" t="s">
        <v>19</v>
      </c>
      <c r="U2" s="50" t="s">
        <v>20</v>
      </c>
    </row>
    <row r="3" spans="1:21" x14ac:dyDescent="0.2">
      <c r="A3" s="13" t="s">
        <v>101</v>
      </c>
      <c r="B3" s="51">
        <v>1482.4</v>
      </c>
      <c r="C3" s="47">
        <v>0</v>
      </c>
      <c r="D3" s="47">
        <v>72.2</v>
      </c>
      <c r="E3" s="47">
        <v>0</v>
      </c>
      <c r="F3" s="47">
        <v>0.01</v>
      </c>
      <c r="G3" s="52">
        <v>50.44</v>
      </c>
      <c r="H3" s="51">
        <v>2.8</v>
      </c>
      <c r="I3" s="47">
        <v>0</v>
      </c>
      <c r="J3" s="47">
        <v>0</v>
      </c>
      <c r="K3" s="47">
        <v>0</v>
      </c>
      <c r="L3" s="47">
        <v>0</v>
      </c>
      <c r="M3" s="47">
        <v>83.6</v>
      </c>
      <c r="N3" s="47">
        <v>0</v>
      </c>
      <c r="O3" s="47">
        <v>0</v>
      </c>
      <c r="P3" s="47">
        <v>0</v>
      </c>
      <c r="Q3" s="47">
        <v>0</v>
      </c>
      <c r="R3" s="47">
        <v>0</v>
      </c>
      <c r="S3" s="47">
        <v>0</v>
      </c>
      <c r="T3" s="47">
        <v>0</v>
      </c>
      <c r="U3" s="52">
        <v>0</v>
      </c>
    </row>
    <row r="4" spans="1:21" x14ac:dyDescent="0.2">
      <c r="A4" s="13" t="s">
        <v>162</v>
      </c>
      <c r="B4" s="51">
        <v>0</v>
      </c>
      <c r="C4" s="47">
        <v>0</v>
      </c>
      <c r="D4" s="47">
        <v>13.56</v>
      </c>
      <c r="E4" s="47">
        <v>0</v>
      </c>
      <c r="F4" s="47">
        <v>0</v>
      </c>
      <c r="G4" s="52">
        <v>0</v>
      </c>
      <c r="H4" s="51">
        <v>0</v>
      </c>
      <c r="I4" s="47">
        <v>6.52</v>
      </c>
      <c r="J4" s="47">
        <v>11.8</v>
      </c>
      <c r="K4" s="47">
        <v>0</v>
      </c>
      <c r="L4" s="47">
        <v>0</v>
      </c>
      <c r="M4" s="47">
        <v>0</v>
      </c>
      <c r="N4" s="47">
        <v>0</v>
      </c>
      <c r="O4" s="47">
        <v>0</v>
      </c>
      <c r="P4" s="47">
        <v>1.76</v>
      </c>
      <c r="Q4" s="47">
        <v>33.200000000000003</v>
      </c>
      <c r="R4" s="47">
        <v>67.66</v>
      </c>
      <c r="S4" s="47">
        <v>15.08</v>
      </c>
      <c r="T4" s="47">
        <v>630</v>
      </c>
      <c r="U4" s="52">
        <v>417.54</v>
      </c>
    </row>
    <row r="5" spans="1:21" x14ac:dyDescent="0.2">
      <c r="A5" s="13" t="s">
        <v>103</v>
      </c>
      <c r="B5" s="51">
        <v>0</v>
      </c>
      <c r="C5" s="47">
        <v>4.08</v>
      </c>
      <c r="D5" s="47">
        <v>168</v>
      </c>
      <c r="E5" s="47">
        <v>0</v>
      </c>
      <c r="F5" s="47">
        <v>0.72</v>
      </c>
      <c r="G5" s="52">
        <v>1.04</v>
      </c>
      <c r="H5" s="51">
        <v>99.8</v>
      </c>
      <c r="I5" s="47">
        <v>141.12</v>
      </c>
      <c r="J5" s="47">
        <v>400.52</v>
      </c>
      <c r="K5" s="47">
        <v>79.319999999999993</v>
      </c>
      <c r="L5" s="47">
        <v>24.04</v>
      </c>
      <c r="M5" s="47">
        <v>217.2</v>
      </c>
      <c r="N5" s="47">
        <v>0</v>
      </c>
      <c r="O5" s="47">
        <v>0</v>
      </c>
      <c r="P5" s="47">
        <v>631.55999999999995</v>
      </c>
      <c r="Q5" s="47">
        <v>6.24</v>
      </c>
      <c r="R5" s="47">
        <v>4.5199999999999996</v>
      </c>
      <c r="S5" s="47">
        <v>25.6</v>
      </c>
      <c r="T5" s="47">
        <v>0</v>
      </c>
      <c r="U5" s="52">
        <v>8.1999999999999993</v>
      </c>
    </row>
    <row r="6" spans="1:21" x14ac:dyDescent="0.2">
      <c r="A6" s="24" t="s">
        <v>95</v>
      </c>
      <c r="B6" s="51">
        <v>0</v>
      </c>
      <c r="C6" s="47">
        <v>0</v>
      </c>
      <c r="D6" s="47">
        <v>0</v>
      </c>
      <c r="E6" s="47">
        <v>0</v>
      </c>
      <c r="F6" s="47">
        <v>0</v>
      </c>
      <c r="G6" s="52">
        <v>0</v>
      </c>
      <c r="H6" s="51">
        <v>0</v>
      </c>
      <c r="I6" s="47">
        <v>0</v>
      </c>
      <c r="J6" s="47">
        <v>0</v>
      </c>
      <c r="K6" s="47">
        <v>0</v>
      </c>
      <c r="L6" s="47">
        <v>0</v>
      </c>
      <c r="M6" s="47">
        <v>0</v>
      </c>
      <c r="N6" s="47">
        <v>0</v>
      </c>
      <c r="O6" s="47">
        <v>0</v>
      </c>
      <c r="P6" s="47">
        <v>0</v>
      </c>
      <c r="Q6" s="47">
        <v>0</v>
      </c>
      <c r="R6" s="47">
        <v>0</v>
      </c>
      <c r="S6" s="47">
        <v>7.48</v>
      </c>
      <c r="T6" s="47">
        <v>0</v>
      </c>
      <c r="U6" s="52">
        <v>0</v>
      </c>
    </row>
    <row r="7" spans="1:21" x14ac:dyDescent="0.2">
      <c r="A7" s="13" t="s">
        <v>104</v>
      </c>
      <c r="B7" s="51">
        <v>0</v>
      </c>
      <c r="C7" s="47">
        <v>0</v>
      </c>
      <c r="D7" s="47">
        <v>0</v>
      </c>
      <c r="E7" s="47">
        <v>0</v>
      </c>
      <c r="F7" s="47">
        <v>0</v>
      </c>
      <c r="G7" s="52">
        <v>0</v>
      </c>
      <c r="H7" s="51">
        <v>0</v>
      </c>
      <c r="I7" s="47">
        <v>0</v>
      </c>
      <c r="J7" s="47">
        <v>0</v>
      </c>
      <c r="K7" s="47">
        <v>0</v>
      </c>
      <c r="L7" s="47">
        <v>0</v>
      </c>
      <c r="M7" s="47">
        <v>0.01</v>
      </c>
      <c r="N7" s="47">
        <v>0</v>
      </c>
      <c r="O7" s="47">
        <v>0</v>
      </c>
      <c r="P7" s="47">
        <v>0</v>
      </c>
      <c r="Q7" s="47">
        <v>0</v>
      </c>
      <c r="R7" s="47">
        <v>0</v>
      </c>
      <c r="S7" s="47">
        <v>0</v>
      </c>
      <c r="T7" s="47">
        <v>0</v>
      </c>
      <c r="U7" s="52">
        <v>0</v>
      </c>
    </row>
    <row r="8" spans="1:21" x14ac:dyDescent="0.2">
      <c r="A8" s="13" t="s">
        <v>139</v>
      </c>
      <c r="B8" s="51">
        <v>0</v>
      </c>
      <c r="C8" s="47">
        <v>0</v>
      </c>
      <c r="D8" s="47">
        <v>0.01</v>
      </c>
      <c r="E8" s="47">
        <v>0</v>
      </c>
      <c r="F8" s="47">
        <v>0</v>
      </c>
      <c r="G8" s="52">
        <v>0</v>
      </c>
      <c r="H8" s="51">
        <v>0</v>
      </c>
      <c r="I8" s="47">
        <v>0</v>
      </c>
      <c r="J8" s="47">
        <v>0</v>
      </c>
      <c r="K8" s="47">
        <v>0</v>
      </c>
      <c r="L8" s="47">
        <v>0</v>
      </c>
      <c r="M8" s="47">
        <v>0</v>
      </c>
      <c r="N8" s="47">
        <v>0</v>
      </c>
      <c r="O8" s="47">
        <v>0</v>
      </c>
      <c r="P8" s="47">
        <v>0</v>
      </c>
      <c r="Q8" s="47">
        <v>0</v>
      </c>
      <c r="R8" s="47">
        <v>0</v>
      </c>
      <c r="S8" s="47">
        <v>0</v>
      </c>
      <c r="T8" s="47">
        <v>0</v>
      </c>
      <c r="U8" s="52">
        <v>0</v>
      </c>
    </row>
    <row r="9" spans="1:21" x14ac:dyDescent="0.2">
      <c r="A9" s="13" t="s">
        <v>106</v>
      </c>
      <c r="B9" s="51">
        <v>0</v>
      </c>
      <c r="C9" s="47">
        <v>465.2</v>
      </c>
      <c r="D9" s="47">
        <v>0.6</v>
      </c>
      <c r="E9" s="47">
        <v>745.2</v>
      </c>
      <c r="F9" s="47">
        <v>0</v>
      </c>
      <c r="G9" s="52">
        <v>0</v>
      </c>
      <c r="H9" s="51">
        <v>0</v>
      </c>
      <c r="I9" s="47">
        <v>0.01</v>
      </c>
      <c r="J9" s="47">
        <v>1.4</v>
      </c>
      <c r="K9" s="47">
        <v>0</v>
      </c>
      <c r="L9" s="47">
        <v>0</v>
      </c>
      <c r="M9" s="47">
        <v>0</v>
      </c>
      <c r="N9" s="47">
        <v>0</v>
      </c>
      <c r="O9" s="47">
        <v>0</v>
      </c>
      <c r="P9" s="47">
        <v>0</v>
      </c>
      <c r="Q9" s="47">
        <v>0</v>
      </c>
      <c r="R9" s="47">
        <v>0</v>
      </c>
      <c r="S9" s="47">
        <v>0</v>
      </c>
      <c r="T9" s="47">
        <v>0</v>
      </c>
      <c r="U9" s="52">
        <v>0</v>
      </c>
    </row>
    <row r="10" spans="1:21" x14ac:dyDescent="0.2">
      <c r="A10" s="13" t="s">
        <v>107</v>
      </c>
      <c r="B10" s="51">
        <v>0</v>
      </c>
      <c r="C10" s="47">
        <v>28.44</v>
      </c>
      <c r="D10" s="47">
        <v>0</v>
      </c>
      <c r="E10" s="47">
        <v>108</v>
      </c>
      <c r="F10" s="47">
        <v>0</v>
      </c>
      <c r="G10" s="52">
        <v>0</v>
      </c>
      <c r="H10" s="51">
        <v>0</v>
      </c>
      <c r="I10" s="47">
        <v>0</v>
      </c>
      <c r="J10" s="47">
        <v>0</v>
      </c>
      <c r="K10" s="47">
        <v>0</v>
      </c>
      <c r="L10" s="47">
        <v>0</v>
      </c>
      <c r="M10" s="47">
        <v>0</v>
      </c>
      <c r="N10" s="47">
        <v>0</v>
      </c>
      <c r="O10" s="47">
        <v>0</v>
      </c>
      <c r="P10" s="47">
        <v>0.01</v>
      </c>
      <c r="Q10" s="47">
        <v>0</v>
      </c>
      <c r="R10" s="47">
        <v>0</v>
      </c>
      <c r="S10" s="47">
        <v>0</v>
      </c>
      <c r="T10" s="47">
        <v>0</v>
      </c>
      <c r="U10" s="52">
        <v>0</v>
      </c>
    </row>
    <row r="11" spans="1:21" x14ac:dyDescent="0.2">
      <c r="A11" s="13" t="s">
        <v>110</v>
      </c>
      <c r="B11" s="51">
        <v>2.8</v>
      </c>
      <c r="C11" s="47">
        <v>0</v>
      </c>
      <c r="D11" s="47">
        <v>30.16</v>
      </c>
      <c r="E11" s="47">
        <v>0</v>
      </c>
      <c r="F11" s="47">
        <v>183.32</v>
      </c>
      <c r="G11" s="52">
        <v>585.88</v>
      </c>
      <c r="H11" s="51">
        <v>0</v>
      </c>
      <c r="I11" s="47">
        <v>28.16</v>
      </c>
      <c r="J11" s="47">
        <v>4.5199999999999996</v>
      </c>
      <c r="K11" s="47">
        <v>107.64</v>
      </c>
      <c r="L11" s="47">
        <v>49.96</v>
      </c>
      <c r="M11" s="47">
        <v>27</v>
      </c>
      <c r="N11" s="47">
        <v>0</v>
      </c>
      <c r="O11" s="47">
        <v>0</v>
      </c>
      <c r="P11" s="47">
        <v>0</v>
      </c>
      <c r="Q11" s="47">
        <v>338.08</v>
      </c>
      <c r="R11" s="47">
        <v>103.12</v>
      </c>
      <c r="S11" s="47">
        <v>43.44</v>
      </c>
      <c r="T11" s="47">
        <v>0.68</v>
      </c>
      <c r="U11" s="52">
        <v>60.01</v>
      </c>
    </row>
    <row r="12" spans="1:21" x14ac:dyDescent="0.2">
      <c r="A12" s="13" t="s">
        <v>111</v>
      </c>
      <c r="B12" s="51">
        <v>0</v>
      </c>
      <c r="C12" s="47">
        <v>0</v>
      </c>
      <c r="D12" s="47">
        <v>0</v>
      </c>
      <c r="E12" s="47">
        <v>0</v>
      </c>
      <c r="F12" s="47">
        <v>0</v>
      </c>
      <c r="G12" s="52">
        <v>5.12</v>
      </c>
      <c r="H12" s="51">
        <v>50.8</v>
      </c>
      <c r="I12" s="47">
        <v>0</v>
      </c>
      <c r="J12" s="47">
        <v>88.4</v>
      </c>
      <c r="K12" s="47">
        <v>7.56</v>
      </c>
      <c r="L12" s="47">
        <v>99.12</v>
      </c>
      <c r="M12" s="47">
        <v>116.32</v>
      </c>
      <c r="N12" s="47">
        <v>0</v>
      </c>
      <c r="O12" s="47">
        <v>0</v>
      </c>
      <c r="P12" s="47">
        <v>139.08000000000001</v>
      </c>
      <c r="Q12" s="47">
        <v>0</v>
      </c>
      <c r="R12" s="47">
        <v>0</v>
      </c>
      <c r="S12" s="47">
        <v>4.68</v>
      </c>
      <c r="T12" s="47">
        <v>0</v>
      </c>
      <c r="U12" s="52">
        <v>33.159999999999997</v>
      </c>
    </row>
    <row r="13" spans="1:21" x14ac:dyDescent="0.2">
      <c r="A13" s="13" t="s">
        <v>112</v>
      </c>
      <c r="B13" s="51">
        <v>5.2</v>
      </c>
      <c r="C13" s="47">
        <v>3.5</v>
      </c>
      <c r="D13" s="47">
        <v>0.62</v>
      </c>
      <c r="E13" s="47">
        <v>0</v>
      </c>
      <c r="F13" s="47">
        <v>98.22</v>
      </c>
      <c r="G13" s="52">
        <v>0.92</v>
      </c>
      <c r="H13" s="51">
        <v>0</v>
      </c>
      <c r="I13" s="47">
        <v>6.22</v>
      </c>
      <c r="J13" s="47">
        <v>1.04</v>
      </c>
      <c r="K13" s="47">
        <v>11.38</v>
      </c>
      <c r="L13" s="47">
        <v>6.4</v>
      </c>
      <c r="M13" s="47">
        <v>1.3</v>
      </c>
      <c r="N13" s="47">
        <v>0</v>
      </c>
      <c r="O13" s="47">
        <v>0</v>
      </c>
      <c r="P13" s="47">
        <v>57.62</v>
      </c>
      <c r="Q13" s="47">
        <v>10.96</v>
      </c>
      <c r="R13" s="47">
        <v>13.22</v>
      </c>
      <c r="S13" s="47">
        <v>62.96</v>
      </c>
      <c r="T13" s="47">
        <v>3.34</v>
      </c>
      <c r="U13" s="52">
        <v>104.26</v>
      </c>
    </row>
    <row r="14" spans="1:21" x14ac:dyDescent="0.2">
      <c r="A14" s="13" t="s">
        <v>114</v>
      </c>
      <c r="B14" s="51">
        <v>5.2</v>
      </c>
      <c r="C14" s="47">
        <v>3.5</v>
      </c>
      <c r="D14" s="47">
        <v>0.62</v>
      </c>
      <c r="E14" s="47">
        <v>0</v>
      </c>
      <c r="F14" s="47">
        <v>98.22</v>
      </c>
      <c r="G14" s="52">
        <v>0.92</v>
      </c>
      <c r="H14" s="51">
        <v>0</v>
      </c>
      <c r="I14" s="47">
        <v>6.22</v>
      </c>
      <c r="J14" s="47">
        <v>1.04</v>
      </c>
      <c r="K14" s="47">
        <v>11.38</v>
      </c>
      <c r="L14" s="47">
        <v>6.4</v>
      </c>
      <c r="M14" s="47">
        <v>1.3</v>
      </c>
      <c r="N14" s="47">
        <v>0</v>
      </c>
      <c r="O14" s="47">
        <v>0</v>
      </c>
      <c r="P14" s="47">
        <v>57.62</v>
      </c>
      <c r="Q14" s="47">
        <v>10.96</v>
      </c>
      <c r="R14" s="47">
        <v>13.22</v>
      </c>
      <c r="S14" s="47">
        <v>62.96</v>
      </c>
      <c r="T14" s="47">
        <v>3.34</v>
      </c>
      <c r="U14" s="52">
        <v>104.26</v>
      </c>
    </row>
    <row r="15" spans="1:21" x14ac:dyDescent="0.2">
      <c r="A15" s="13" t="s">
        <v>116</v>
      </c>
      <c r="B15" s="51">
        <v>0</v>
      </c>
      <c r="C15" s="47">
        <v>0</v>
      </c>
      <c r="D15" s="47">
        <v>0</v>
      </c>
      <c r="E15" s="47">
        <v>0</v>
      </c>
      <c r="F15" s="47">
        <v>0</v>
      </c>
      <c r="G15" s="52">
        <v>0</v>
      </c>
      <c r="H15" s="51">
        <v>0</v>
      </c>
      <c r="I15" s="47">
        <v>0</v>
      </c>
      <c r="J15" s="47">
        <v>0</v>
      </c>
      <c r="K15" s="47">
        <v>0</v>
      </c>
      <c r="L15" s="47">
        <v>0</v>
      </c>
      <c r="M15" s="47">
        <v>0</v>
      </c>
      <c r="N15" s="47">
        <v>0</v>
      </c>
      <c r="O15" s="47">
        <v>0</v>
      </c>
      <c r="P15" s="47">
        <v>0.01</v>
      </c>
      <c r="Q15" s="47">
        <v>0</v>
      </c>
      <c r="R15" s="47">
        <v>0</v>
      </c>
      <c r="S15" s="47">
        <v>0</v>
      </c>
      <c r="T15" s="47">
        <v>0</v>
      </c>
      <c r="U15" s="52">
        <v>0</v>
      </c>
    </row>
    <row r="16" spans="1:21" x14ac:dyDescent="0.2">
      <c r="A16" s="45" t="s">
        <v>160</v>
      </c>
      <c r="B16" s="51">
        <v>0</v>
      </c>
      <c r="C16" s="47">
        <v>0</v>
      </c>
      <c r="D16" s="47">
        <v>6.92</v>
      </c>
      <c r="E16" s="47">
        <v>0</v>
      </c>
      <c r="F16" s="47">
        <v>54.52</v>
      </c>
      <c r="G16" s="52">
        <v>0</v>
      </c>
      <c r="H16" s="51">
        <v>18.12</v>
      </c>
      <c r="I16" s="47">
        <v>0</v>
      </c>
      <c r="J16" s="47">
        <v>0</v>
      </c>
      <c r="K16" s="47">
        <v>0</v>
      </c>
      <c r="L16" s="47">
        <v>0</v>
      </c>
      <c r="M16" s="47">
        <v>23.6</v>
      </c>
      <c r="N16" s="47">
        <v>0</v>
      </c>
      <c r="O16" s="47">
        <v>0</v>
      </c>
      <c r="P16" s="47">
        <v>0.64</v>
      </c>
      <c r="Q16" s="47">
        <v>0</v>
      </c>
      <c r="R16" s="47">
        <v>0</v>
      </c>
      <c r="S16" s="47">
        <v>5.48</v>
      </c>
      <c r="T16" s="47">
        <v>0</v>
      </c>
      <c r="U16" s="52">
        <v>4.8</v>
      </c>
    </row>
    <row r="17" spans="1:21" x14ac:dyDescent="0.2">
      <c r="A17" s="23" t="s">
        <v>89</v>
      </c>
      <c r="B17" s="51">
        <v>0</v>
      </c>
      <c r="C17" s="47">
        <v>0</v>
      </c>
      <c r="D17" s="47">
        <v>0.16</v>
      </c>
      <c r="E17" s="47">
        <v>0</v>
      </c>
      <c r="F17" s="47">
        <v>0</v>
      </c>
      <c r="G17" s="52">
        <v>0</v>
      </c>
      <c r="H17" s="51">
        <v>0</v>
      </c>
      <c r="I17" s="47">
        <v>0</v>
      </c>
      <c r="J17" s="47">
        <v>0</v>
      </c>
      <c r="K17" s="47">
        <v>0</v>
      </c>
      <c r="L17" s="47">
        <v>0</v>
      </c>
      <c r="M17" s="47">
        <v>0</v>
      </c>
      <c r="N17" s="47">
        <v>0</v>
      </c>
      <c r="O17" s="47">
        <v>0</v>
      </c>
      <c r="P17" s="47">
        <v>0</v>
      </c>
      <c r="Q17" s="47">
        <v>0</v>
      </c>
      <c r="R17" s="47">
        <v>0</v>
      </c>
      <c r="S17" s="47">
        <v>0</v>
      </c>
      <c r="T17" s="47">
        <v>0</v>
      </c>
      <c r="U17" s="52">
        <v>0</v>
      </c>
    </row>
    <row r="18" spans="1:21" x14ac:dyDescent="0.2">
      <c r="A18" s="13" t="s">
        <v>130</v>
      </c>
      <c r="B18" s="51">
        <v>0</v>
      </c>
      <c r="C18" s="47">
        <v>0</v>
      </c>
      <c r="D18" s="47">
        <v>0</v>
      </c>
      <c r="E18" s="47">
        <v>0</v>
      </c>
      <c r="F18" s="47">
        <v>0</v>
      </c>
      <c r="G18" s="52">
        <v>0</v>
      </c>
      <c r="H18" s="51">
        <v>0.4</v>
      </c>
      <c r="I18" s="47">
        <v>0</v>
      </c>
      <c r="J18" s="47">
        <v>0</v>
      </c>
      <c r="K18" s="47">
        <v>0</v>
      </c>
      <c r="L18" s="47">
        <v>0</v>
      </c>
      <c r="M18" s="47">
        <v>0</v>
      </c>
      <c r="N18" s="47">
        <v>0</v>
      </c>
      <c r="O18" s="47">
        <v>0</v>
      </c>
      <c r="P18" s="47">
        <v>0</v>
      </c>
      <c r="Q18" s="47">
        <v>0</v>
      </c>
      <c r="R18" s="47">
        <v>0</v>
      </c>
      <c r="S18" s="47">
        <v>0</v>
      </c>
      <c r="T18" s="47">
        <v>0</v>
      </c>
      <c r="U18" s="52">
        <v>0</v>
      </c>
    </row>
    <row r="19" spans="1:21" x14ac:dyDescent="0.2">
      <c r="A19" s="13" t="s">
        <v>119</v>
      </c>
      <c r="B19" s="51">
        <v>0</v>
      </c>
      <c r="C19" s="47">
        <v>0</v>
      </c>
      <c r="D19" s="47">
        <v>0.01</v>
      </c>
      <c r="E19" s="47">
        <v>0</v>
      </c>
      <c r="F19" s="47">
        <v>0.01</v>
      </c>
      <c r="G19" s="52">
        <v>0</v>
      </c>
      <c r="H19" s="51">
        <v>0</v>
      </c>
      <c r="I19" s="47">
        <v>0</v>
      </c>
      <c r="J19" s="47">
        <v>0</v>
      </c>
      <c r="K19" s="47">
        <v>0</v>
      </c>
      <c r="L19" s="47">
        <v>0</v>
      </c>
      <c r="M19" s="47">
        <v>0</v>
      </c>
      <c r="N19" s="47">
        <v>0</v>
      </c>
      <c r="O19" s="47">
        <v>0</v>
      </c>
      <c r="P19" s="47">
        <v>0.01</v>
      </c>
      <c r="Q19" s="47">
        <v>0</v>
      </c>
      <c r="R19" s="47">
        <v>0</v>
      </c>
      <c r="S19" s="47">
        <v>0</v>
      </c>
      <c r="T19" s="47">
        <v>0</v>
      </c>
      <c r="U19" s="52">
        <v>0</v>
      </c>
    </row>
    <row r="20" spans="1:21" x14ac:dyDescent="0.2">
      <c r="A20" s="13" t="s">
        <v>161</v>
      </c>
      <c r="B20" s="51">
        <v>0</v>
      </c>
      <c r="C20" s="47">
        <v>0</v>
      </c>
      <c r="D20" s="47">
        <v>13.56</v>
      </c>
      <c r="E20" s="47">
        <v>0</v>
      </c>
      <c r="F20" s="47">
        <v>0</v>
      </c>
      <c r="G20" s="52">
        <v>0</v>
      </c>
      <c r="H20" s="51">
        <v>0</v>
      </c>
      <c r="I20" s="47">
        <v>6.52</v>
      </c>
      <c r="J20" s="47">
        <v>11.8</v>
      </c>
      <c r="K20" s="47">
        <v>0</v>
      </c>
      <c r="L20" s="47">
        <v>0</v>
      </c>
      <c r="M20" s="47">
        <v>0</v>
      </c>
      <c r="N20" s="47">
        <v>0</v>
      </c>
      <c r="O20" s="47">
        <v>0</v>
      </c>
      <c r="P20" s="47">
        <v>1.76</v>
      </c>
      <c r="Q20" s="47">
        <v>33.200000000000003</v>
      </c>
      <c r="R20" s="47">
        <v>67.66</v>
      </c>
      <c r="S20" s="47">
        <v>15.08</v>
      </c>
      <c r="T20" s="47">
        <v>630</v>
      </c>
      <c r="U20" s="52">
        <v>417.54</v>
      </c>
    </row>
    <row r="21" spans="1:21" x14ac:dyDescent="0.2">
      <c r="A21" s="13" t="s">
        <v>123</v>
      </c>
      <c r="B21" s="51">
        <v>0.4</v>
      </c>
      <c r="C21" s="47">
        <v>0</v>
      </c>
      <c r="D21" s="47">
        <v>9.4</v>
      </c>
      <c r="E21" s="47">
        <v>0</v>
      </c>
      <c r="F21" s="47">
        <v>0</v>
      </c>
      <c r="G21" s="52">
        <v>1</v>
      </c>
      <c r="H21" s="51">
        <v>21.08</v>
      </c>
      <c r="I21" s="47">
        <v>278.8</v>
      </c>
      <c r="J21" s="47">
        <v>215.44</v>
      </c>
      <c r="K21" s="47">
        <v>507.2</v>
      </c>
      <c r="L21" s="47">
        <v>500</v>
      </c>
      <c r="M21" s="47">
        <v>196.56</v>
      </c>
      <c r="N21" s="47">
        <v>0</v>
      </c>
      <c r="O21" s="47">
        <v>0</v>
      </c>
      <c r="P21" s="47">
        <v>37.159999999999997</v>
      </c>
      <c r="Q21" s="47">
        <v>89.64</v>
      </c>
      <c r="R21" s="47">
        <v>311</v>
      </c>
      <c r="S21" s="47">
        <v>209</v>
      </c>
      <c r="T21" s="47">
        <v>0</v>
      </c>
      <c r="U21" s="52">
        <v>15</v>
      </c>
    </row>
    <row r="22" spans="1:21" x14ac:dyDescent="0.2">
      <c r="A22" s="4" t="s">
        <v>80</v>
      </c>
      <c r="B22" s="51">
        <v>0</v>
      </c>
      <c r="C22" s="47">
        <v>263.88</v>
      </c>
      <c r="D22" s="47">
        <v>634.79999999999995</v>
      </c>
      <c r="E22" s="47">
        <v>0</v>
      </c>
      <c r="F22" s="47">
        <v>0</v>
      </c>
      <c r="G22" s="52">
        <v>90.32</v>
      </c>
      <c r="H22" s="51">
        <v>823.2</v>
      </c>
      <c r="I22" s="47">
        <v>0</v>
      </c>
      <c r="J22" s="47">
        <v>0</v>
      </c>
      <c r="K22" s="47">
        <v>0</v>
      </c>
      <c r="L22" s="47">
        <v>2.72</v>
      </c>
      <c r="M22" s="47">
        <v>0</v>
      </c>
      <c r="N22" s="47">
        <v>0</v>
      </c>
      <c r="O22" s="47">
        <v>0</v>
      </c>
      <c r="P22" s="47">
        <v>34.92</v>
      </c>
      <c r="Q22" s="47">
        <v>276.36</v>
      </c>
      <c r="R22" s="47">
        <v>0</v>
      </c>
      <c r="S22" s="47">
        <v>208.6</v>
      </c>
      <c r="T22" s="47">
        <v>0</v>
      </c>
      <c r="U22" s="52">
        <v>0</v>
      </c>
    </row>
    <row r="23" spans="1:21" x14ac:dyDescent="0.2">
      <c r="A23" s="13" t="s">
        <v>140</v>
      </c>
      <c r="B23" s="51">
        <v>0</v>
      </c>
      <c r="C23" s="47">
        <v>0</v>
      </c>
      <c r="D23" s="47">
        <v>0</v>
      </c>
      <c r="E23" s="47">
        <v>0</v>
      </c>
      <c r="F23" s="47">
        <v>977.28</v>
      </c>
      <c r="G23" s="52">
        <v>82.4</v>
      </c>
      <c r="H23" s="51">
        <v>0</v>
      </c>
      <c r="I23" s="47">
        <v>0</v>
      </c>
      <c r="J23" s="47">
        <v>0</v>
      </c>
      <c r="K23" s="47">
        <v>0</v>
      </c>
      <c r="L23" s="47">
        <v>0</v>
      </c>
      <c r="M23" s="47">
        <v>0</v>
      </c>
      <c r="N23" s="47">
        <v>0</v>
      </c>
      <c r="O23" s="47">
        <v>0</v>
      </c>
      <c r="P23" s="47">
        <v>0</v>
      </c>
      <c r="Q23" s="47">
        <v>17.28</v>
      </c>
      <c r="R23" s="47">
        <v>0</v>
      </c>
      <c r="S23" s="47">
        <v>0</v>
      </c>
      <c r="T23" s="47">
        <v>0</v>
      </c>
      <c r="U23" s="52">
        <v>0</v>
      </c>
    </row>
    <row r="24" spans="1:21" x14ac:dyDescent="0.2">
      <c r="A24" s="13" t="s">
        <v>125</v>
      </c>
      <c r="B24" s="51">
        <v>0.56000000000000005</v>
      </c>
      <c r="C24" s="47">
        <v>0</v>
      </c>
      <c r="D24" s="47">
        <v>0</v>
      </c>
      <c r="E24" s="47">
        <v>0</v>
      </c>
      <c r="F24" s="47">
        <v>0</v>
      </c>
      <c r="G24" s="52">
        <v>0</v>
      </c>
      <c r="H24" s="51">
        <v>0</v>
      </c>
      <c r="I24" s="47">
        <v>0</v>
      </c>
      <c r="J24" s="47">
        <v>0</v>
      </c>
      <c r="K24" s="47">
        <v>4.5999999999999996</v>
      </c>
      <c r="L24" s="47">
        <v>0</v>
      </c>
      <c r="M24" s="47">
        <v>0</v>
      </c>
      <c r="N24" s="47">
        <v>0</v>
      </c>
      <c r="O24" s="47">
        <v>0</v>
      </c>
      <c r="P24" s="47">
        <v>0</v>
      </c>
      <c r="Q24" s="47">
        <v>0</v>
      </c>
      <c r="R24" s="47">
        <v>0</v>
      </c>
      <c r="S24" s="47">
        <v>0</v>
      </c>
      <c r="T24" s="47">
        <v>0</v>
      </c>
      <c r="U24" s="52">
        <v>9.48</v>
      </c>
    </row>
    <row r="25" spans="1:21" x14ac:dyDescent="0.2">
      <c r="A25" s="15" t="s">
        <v>126</v>
      </c>
      <c r="B25" s="51">
        <v>0</v>
      </c>
      <c r="C25" s="47">
        <v>0</v>
      </c>
      <c r="D25" s="47">
        <v>0</v>
      </c>
      <c r="E25" s="47">
        <v>0</v>
      </c>
      <c r="F25" s="47">
        <v>0.8</v>
      </c>
      <c r="G25" s="52">
        <v>0</v>
      </c>
      <c r="H25" s="51">
        <v>0</v>
      </c>
      <c r="I25" s="47">
        <v>0</v>
      </c>
      <c r="J25" s="47">
        <v>0</v>
      </c>
      <c r="K25" s="47">
        <v>0</v>
      </c>
      <c r="L25" s="47">
        <v>0</v>
      </c>
      <c r="M25" s="47">
        <v>0</v>
      </c>
      <c r="N25" s="47">
        <v>0</v>
      </c>
      <c r="O25" s="47">
        <v>0</v>
      </c>
      <c r="P25" s="47">
        <v>0</v>
      </c>
      <c r="Q25" s="47">
        <v>0</v>
      </c>
      <c r="R25" s="47">
        <v>0</v>
      </c>
      <c r="S25" s="47">
        <v>0</v>
      </c>
      <c r="T25" s="47">
        <v>0</v>
      </c>
      <c r="U25" s="52">
        <v>0</v>
      </c>
    </row>
    <row r="26" spans="1:21" x14ac:dyDescent="0.2">
      <c r="A26" s="13" t="s">
        <v>142</v>
      </c>
      <c r="B26" s="53">
        <v>0</v>
      </c>
      <c r="C26" s="54">
        <v>0</v>
      </c>
      <c r="D26" s="54">
        <v>0</v>
      </c>
      <c r="E26" s="54">
        <v>0</v>
      </c>
      <c r="F26" s="54">
        <v>0</v>
      </c>
      <c r="G26" s="55">
        <v>0</v>
      </c>
      <c r="H26" s="53">
        <v>0</v>
      </c>
      <c r="I26" s="54">
        <v>0</v>
      </c>
      <c r="J26" s="54">
        <v>0</v>
      </c>
      <c r="K26" s="54">
        <v>0</v>
      </c>
      <c r="L26" s="54">
        <v>0</v>
      </c>
      <c r="M26" s="54">
        <v>0</v>
      </c>
      <c r="N26" s="54">
        <v>0</v>
      </c>
      <c r="O26" s="54">
        <v>0</v>
      </c>
      <c r="P26" s="54">
        <v>0</v>
      </c>
      <c r="Q26" s="54">
        <v>0</v>
      </c>
      <c r="R26" s="54">
        <v>4.72</v>
      </c>
      <c r="S26" s="54">
        <v>0</v>
      </c>
      <c r="T26" s="54">
        <v>0</v>
      </c>
      <c r="U26" s="55">
        <v>0</v>
      </c>
    </row>
  </sheetData>
  <sortState xmlns:xlrd2="http://schemas.microsoft.com/office/spreadsheetml/2017/richdata2" ref="A3:U26">
    <sortCondition ref="A3:A26"/>
  </sortState>
  <mergeCells count="2">
    <mergeCell ref="B1:G1"/>
    <mergeCell ref="H1:U1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U21"/>
  <sheetViews>
    <sheetView workbookViewId="0"/>
  </sheetViews>
  <sheetFormatPr baseColWidth="10" defaultColWidth="8.83203125" defaultRowHeight="18" x14ac:dyDescent="0.2"/>
  <cols>
    <col min="1" max="1" width="79.33203125" style="45" customWidth="1"/>
    <col min="2" max="21" width="9.83203125" style="45" customWidth="1"/>
    <col min="22" max="22" width="8.83203125" style="45" customWidth="1"/>
    <col min="23" max="27" width="9.1640625" style="45" customWidth="1"/>
    <col min="28" max="16384" width="8.83203125" style="45"/>
  </cols>
  <sheetData>
    <row r="1" spans="1:21" x14ac:dyDescent="0.2">
      <c r="B1" s="90" t="s">
        <v>26</v>
      </c>
      <c r="C1" s="91"/>
      <c r="D1" s="91"/>
      <c r="E1" s="91"/>
      <c r="F1" s="91"/>
      <c r="G1" s="92"/>
      <c r="H1" s="90" t="s">
        <v>27</v>
      </c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2"/>
    </row>
    <row r="2" spans="1:21" x14ac:dyDescent="0.2">
      <c r="A2" s="17" t="s">
        <v>100</v>
      </c>
      <c r="B2" s="48" t="s">
        <v>1</v>
      </c>
      <c r="C2" s="49" t="s">
        <v>2</v>
      </c>
      <c r="D2" s="49" t="s">
        <v>3</v>
      </c>
      <c r="E2" s="49" t="s">
        <v>4</v>
      </c>
      <c r="F2" s="49" t="s">
        <v>5</v>
      </c>
      <c r="G2" s="50" t="s">
        <v>6</v>
      </c>
      <c r="H2" s="48" t="s">
        <v>7</v>
      </c>
      <c r="I2" s="49" t="s">
        <v>8</v>
      </c>
      <c r="J2" s="49" t="s">
        <v>9</v>
      </c>
      <c r="K2" s="49" t="s">
        <v>10</v>
      </c>
      <c r="L2" s="49" t="s">
        <v>11</v>
      </c>
      <c r="M2" s="49" t="s">
        <v>12</v>
      </c>
      <c r="N2" s="49" t="s">
        <v>13</v>
      </c>
      <c r="O2" s="49" t="s">
        <v>14</v>
      </c>
      <c r="P2" s="49" t="s">
        <v>15</v>
      </c>
      <c r="Q2" s="49" t="s">
        <v>16</v>
      </c>
      <c r="R2" s="49" t="s">
        <v>17</v>
      </c>
      <c r="S2" s="49" t="s">
        <v>18</v>
      </c>
      <c r="T2" s="49" t="s">
        <v>19</v>
      </c>
      <c r="U2" s="50" t="s">
        <v>20</v>
      </c>
    </row>
    <row r="3" spans="1:21" x14ac:dyDescent="0.2">
      <c r="A3" s="13" t="s">
        <v>101</v>
      </c>
      <c r="B3" s="51">
        <v>183.28</v>
      </c>
      <c r="C3" s="47">
        <v>0</v>
      </c>
      <c r="D3" s="47">
        <v>0</v>
      </c>
      <c r="E3" s="47">
        <v>0</v>
      </c>
      <c r="F3" s="47">
        <v>0</v>
      </c>
      <c r="G3" s="52">
        <v>0</v>
      </c>
      <c r="H3" s="51">
        <v>0</v>
      </c>
      <c r="I3" s="47">
        <v>507.68</v>
      </c>
      <c r="J3" s="47">
        <v>0.01</v>
      </c>
      <c r="K3" s="47">
        <v>0</v>
      </c>
      <c r="L3" s="47">
        <v>0</v>
      </c>
      <c r="M3" s="47">
        <v>1373.52</v>
      </c>
      <c r="N3" s="47">
        <v>1240.48</v>
      </c>
      <c r="O3" s="47">
        <v>0</v>
      </c>
      <c r="P3" s="47">
        <v>0</v>
      </c>
      <c r="Q3" s="47">
        <v>0</v>
      </c>
      <c r="R3" s="47">
        <v>0</v>
      </c>
      <c r="S3" s="47">
        <v>0</v>
      </c>
      <c r="T3" s="47">
        <v>0</v>
      </c>
      <c r="U3" s="52">
        <v>0</v>
      </c>
    </row>
    <row r="4" spans="1:21" x14ac:dyDescent="0.2">
      <c r="A4" s="13" t="s">
        <v>163</v>
      </c>
      <c r="B4" s="51">
        <v>11.56</v>
      </c>
      <c r="C4" s="47">
        <v>5.0000000000000001E-3</v>
      </c>
      <c r="D4" s="47">
        <v>74.06</v>
      </c>
      <c r="E4" s="47">
        <v>0</v>
      </c>
      <c r="F4" s="47">
        <v>215.36</v>
      </c>
      <c r="G4" s="52">
        <v>307.77999999999997</v>
      </c>
      <c r="H4" s="51">
        <v>0</v>
      </c>
      <c r="I4" s="47">
        <v>1.36</v>
      </c>
      <c r="J4" s="47">
        <v>0</v>
      </c>
      <c r="K4" s="47">
        <v>5.0000000000000001E-3</v>
      </c>
      <c r="L4" s="47">
        <v>0</v>
      </c>
      <c r="M4" s="47">
        <v>0</v>
      </c>
      <c r="N4" s="47">
        <v>0</v>
      </c>
      <c r="O4" s="47">
        <v>353.62</v>
      </c>
      <c r="P4" s="47">
        <v>22.4</v>
      </c>
      <c r="Q4" s="47">
        <v>0</v>
      </c>
      <c r="R4" s="47">
        <v>0</v>
      </c>
      <c r="S4" s="47">
        <v>160.4</v>
      </c>
      <c r="T4" s="47">
        <v>1.1200000000000001</v>
      </c>
      <c r="U4" s="52">
        <v>597.08000000000004</v>
      </c>
    </row>
    <row r="5" spans="1:21" x14ac:dyDescent="0.2">
      <c r="A5" s="13" t="s">
        <v>103</v>
      </c>
      <c r="B5" s="51">
        <v>3.52</v>
      </c>
      <c r="C5" s="47">
        <v>0</v>
      </c>
      <c r="D5" s="47">
        <v>37.32</v>
      </c>
      <c r="E5" s="47">
        <v>0</v>
      </c>
      <c r="F5" s="47">
        <v>28.8</v>
      </c>
      <c r="G5" s="52">
        <v>1.36</v>
      </c>
      <c r="H5" s="51">
        <v>0</v>
      </c>
      <c r="I5" s="47">
        <v>680.72</v>
      </c>
      <c r="J5" s="47">
        <v>76.36</v>
      </c>
      <c r="K5" s="47">
        <v>213.28</v>
      </c>
      <c r="L5" s="47">
        <v>0</v>
      </c>
      <c r="M5" s="47">
        <v>26.48</v>
      </c>
      <c r="N5" s="47">
        <v>147.84</v>
      </c>
      <c r="O5" s="47">
        <v>0</v>
      </c>
      <c r="P5" s="47">
        <v>693.88</v>
      </c>
      <c r="Q5" s="47">
        <v>0</v>
      </c>
      <c r="R5" s="47">
        <v>0</v>
      </c>
      <c r="S5" s="47">
        <v>2.96</v>
      </c>
      <c r="T5" s="47">
        <v>0</v>
      </c>
      <c r="U5" s="52">
        <v>0</v>
      </c>
    </row>
    <row r="6" spans="1:21" x14ac:dyDescent="0.2">
      <c r="A6" s="13" t="s">
        <v>104</v>
      </c>
      <c r="B6" s="51">
        <v>0</v>
      </c>
      <c r="C6" s="47">
        <v>0</v>
      </c>
      <c r="D6" s="47">
        <v>0</v>
      </c>
      <c r="E6" s="47">
        <v>0</v>
      </c>
      <c r="F6" s="47">
        <v>0.01</v>
      </c>
      <c r="G6" s="52">
        <v>0</v>
      </c>
      <c r="H6" s="51">
        <v>0</v>
      </c>
      <c r="I6" s="47">
        <v>0</v>
      </c>
      <c r="J6" s="47">
        <v>0</v>
      </c>
      <c r="K6" s="47">
        <v>0</v>
      </c>
      <c r="L6" s="47">
        <v>0</v>
      </c>
      <c r="M6" s="47">
        <v>0</v>
      </c>
      <c r="N6" s="47">
        <v>0</v>
      </c>
      <c r="O6" s="47">
        <v>0</v>
      </c>
      <c r="P6" s="47">
        <v>0</v>
      </c>
      <c r="Q6" s="47">
        <v>0</v>
      </c>
      <c r="R6" s="47">
        <v>0</v>
      </c>
      <c r="S6" s="47">
        <v>0</v>
      </c>
      <c r="T6" s="47">
        <v>0</v>
      </c>
      <c r="U6" s="52">
        <v>0</v>
      </c>
    </row>
    <row r="7" spans="1:21" x14ac:dyDescent="0.2">
      <c r="A7" s="13" t="s">
        <v>106</v>
      </c>
      <c r="B7" s="51">
        <v>0.01</v>
      </c>
      <c r="C7" s="47">
        <v>1760.48</v>
      </c>
      <c r="D7" s="47">
        <v>0.01</v>
      </c>
      <c r="E7" s="47">
        <v>1344.72</v>
      </c>
      <c r="F7" s="47">
        <v>0.01</v>
      </c>
      <c r="G7" s="52">
        <v>0</v>
      </c>
      <c r="H7" s="51">
        <v>0</v>
      </c>
      <c r="I7" s="47">
        <v>0.01</v>
      </c>
      <c r="J7" s="47">
        <v>16.600000000000001</v>
      </c>
      <c r="K7" s="47">
        <v>0</v>
      </c>
      <c r="L7" s="47">
        <v>0</v>
      </c>
      <c r="M7" s="47">
        <v>0</v>
      </c>
      <c r="N7" s="47">
        <v>0.01</v>
      </c>
      <c r="O7" s="47">
        <v>0</v>
      </c>
      <c r="P7" s="47">
        <v>0</v>
      </c>
      <c r="Q7" s="47">
        <v>0</v>
      </c>
      <c r="R7" s="47">
        <v>0</v>
      </c>
      <c r="S7" s="47">
        <v>0</v>
      </c>
      <c r="T7" s="47">
        <v>0</v>
      </c>
      <c r="U7" s="52">
        <v>0</v>
      </c>
    </row>
    <row r="8" spans="1:21" x14ac:dyDescent="0.2">
      <c r="A8" s="13" t="s">
        <v>107</v>
      </c>
      <c r="B8" s="51">
        <v>0.01</v>
      </c>
      <c r="C8" s="47">
        <v>0</v>
      </c>
      <c r="D8" s="47">
        <v>0.01</v>
      </c>
      <c r="E8" s="47">
        <v>18.72</v>
      </c>
      <c r="F8" s="47">
        <v>0</v>
      </c>
      <c r="G8" s="52">
        <v>0</v>
      </c>
      <c r="H8" s="51">
        <v>0</v>
      </c>
      <c r="I8" s="47">
        <v>0</v>
      </c>
      <c r="J8" s="47">
        <v>0</v>
      </c>
      <c r="K8" s="47">
        <v>0</v>
      </c>
      <c r="L8" s="47">
        <v>0</v>
      </c>
      <c r="M8" s="47">
        <v>0.01</v>
      </c>
      <c r="N8" s="47">
        <v>0</v>
      </c>
      <c r="O8" s="47">
        <v>0</v>
      </c>
      <c r="P8" s="47">
        <v>0</v>
      </c>
      <c r="Q8" s="47">
        <v>0</v>
      </c>
      <c r="R8" s="47">
        <v>0</v>
      </c>
      <c r="S8" s="47">
        <v>0</v>
      </c>
      <c r="T8" s="47">
        <v>0</v>
      </c>
      <c r="U8" s="52">
        <v>0</v>
      </c>
    </row>
    <row r="9" spans="1:21" x14ac:dyDescent="0.2">
      <c r="A9" s="13" t="s">
        <v>110</v>
      </c>
      <c r="B9" s="51">
        <v>50.36</v>
      </c>
      <c r="C9" s="47">
        <v>0</v>
      </c>
      <c r="D9" s="47">
        <v>913.52</v>
      </c>
      <c r="E9" s="47">
        <v>0</v>
      </c>
      <c r="F9" s="47">
        <v>194.4</v>
      </c>
      <c r="G9" s="52">
        <v>130.56</v>
      </c>
      <c r="H9" s="51">
        <v>0</v>
      </c>
      <c r="I9" s="47">
        <v>2.56</v>
      </c>
      <c r="J9" s="47">
        <v>0</v>
      </c>
      <c r="K9" s="47">
        <v>21.72</v>
      </c>
      <c r="L9" s="47">
        <v>0</v>
      </c>
      <c r="M9" s="47">
        <v>0</v>
      </c>
      <c r="N9" s="47">
        <v>0</v>
      </c>
      <c r="O9" s="47">
        <v>0</v>
      </c>
      <c r="P9" s="47">
        <v>0</v>
      </c>
      <c r="Q9" s="47">
        <v>0</v>
      </c>
      <c r="R9" s="47">
        <v>0</v>
      </c>
      <c r="S9" s="47">
        <v>49.6</v>
      </c>
      <c r="T9" s="47">
        <v>2.08</v>
      </c>
      <c r="U9" s="52">
        <v>1.84</v>
      </c>
    </row>
    <row r="10" spans="1:21" x14ac:dyDescent="0.2">
      <c r="A10" s="13" t="s">
        <v>111</v>
      </c>
      <c r="B10" s="51">
        <v>1.92</v>
      </c>
      <c r="C10" s="47">
        <v>0</v>
      </c>
      <c r="D10" s="47">
        <v>0</v>
      </c>
      <c r="E10" s="47">
        <v>0</v>
      </c>
      <c r="F10" s="47">
        <v>0</v>
      </c>
      <c r="G10" s="52">
        <v>0</v>
      </c>
      <c r="H10" s="51">
        <v>0</v>
      </c>
      <c r="I10" s="47">
        <v>6.2</v>
      </c>
      <c r="J10" s="47">
        <v>7.32</v>
      </c>
      <c r="K10" s="47">
        <v>0</v>
      </c>
      <c r="L10" s="47">
        <v>0</v>
      </c>
      <c r="M10" s="47">
        <v>0</v>
      </c>
      <c r="N10" s="47">
        <v>0</v>
      </c>
      <c r="O10" s="47">
        <v>4.92</v>
      </c>
      <c r="P10" s="47">
        <v>5.96</v>
      </c>
      <c r="Q10" s="47">
        <v>0</v>
      </c>
      <c r="R10" s="47">
        <v>0</v>
      </c>
      <c r="S10" s="47">
        <v>0</v>
      </c>
      <c r="T10" s="47">
        <v>123.72</v>
      </c>
      <c r="U10" s="52">
        <v>74.16</v>
      </c>
    </row>
    <row r="11" spans="1:21" x14ac:dyDescent="0.2">
      <c r="A11" s="13" t="s">
        <v>112</v>
      </c>
      <c r="B11" s="51">
        <v>0</v>
      </c>
      <c r="C11" s="47">
        <v>0</v>
      </c>
      <c r="D11" s="47">
        <v>13.16</v>
      </c>
      <c r="E11" s="47">
        <v>0</v>
      </c>
      <c r="F11" s="47">
        <v>2.14</v>
      </c>
      <c r="G11" s="52">
        <v>0</v>
      </c>
      <c r="H11" s="51">
        <v>0</v>
      </c>
      <c r="I11" s="47">
        <v>0</v>
      </c>
      <c r="J11" s="47">
        <v>0</v>
      </c>
      <c r="K11" s="47">
        <v>11.54</v>
      </c>
      <c r="L11" s="47">
        <v>0</v>
      </c>
      <c r="M11" s="47">
        <v>0.36</v>
      </c>
      <c r="N11" s="47">
        <v>0.88</v>
      </c>
      <c r="O11" s="47">
        <v>0</v>
      </c>
      <c r="P11" s="47">
        <v>0</v>
      </c>
      <c r="Q11" s="47">
        <v>0</v>
      </c>
      <c r="R11" s="47">
        <v>0</v>
      </c>
      <c r="S11" s="47">
        <v>165.06</v>
      </c>
      <c r="T11" s="47">
        <v>0</v>
      </c>
      <c r="U11" s="52">
        <v>0</v>
      </c>
    </row>
    <row r="12" spans="1:21" x14ac:dyDescent="0.2">
      <c r="A12" s="13" t="s">
        <v>114</v>
      </c>
      <c r="B12" s="51">
        <v>0</v>
      </c>
      <c r="C12" s="47">
        <v>0</v>
      </c>
      <c r="D12" s="47">
        <v>13.16</v>
      </c>
      <c r="E12" s="47">
        <v>0</v>
      </c>
      <c r="F12" s="47">
        <v>2.14</v>
      </c>
      <c r="G12" s="52">
        <v>0</v>
      </c>
      <c r="H12" s="51">
        <v>0</v>
      </c>
      <c r="I12" s="47">
        <v>0</v>
      </c>
      <c r="J12" s="47">
        <v>0</v>
      </c>
      <c r="K12" s="47">
        <v>11.54</v>
      </c>
      <c r="L12" s="47">
        <v>0</v>
      </c>
      <c r="M12" s="47">
        <v>0.36</v>
      </c>
      <c r="N12" s="47">
        <v>0.88</v>
      </c>
      <c r="O12" s="47">
        <v>0</v>
      </c>
      <c r="P12" s="47">
        <v>0</v>
      </c>
      <c r="Q12" s="47">
        <v>0</v>
      </c>
      <c r="R12" s="47">
        <v>0</v>
      </c>
      <c r="S12" s="47">
        <v>165.06</v>
      </c>
      <c r="T12" s="47">
        <v>0</v>
      </c>
      <c r="U12" s="52">
        <v>0</v>
      </c>
    </row>
    <row r="13" spans="1:21" x14ac:dyDescent="0.2">
      <c r="A13" s="13" t="s">
        <v>130</v>
      </c>
      <c r="B13" s="51">
        <v>0.01</v>
      </c>
      <c r="C13" s="47">
        <v>0</v>
      </c>
      <c r="D13" s="47">
        <v>4.68</v>
      </c>
      <c r="E13" s="47">
        <v>0</v>
      </c>
      <c r="F13" s="47">
        <v>0.01</v>
      </c>
      <c r="G13" s="52">
        <v>0</v>
      </c>
      <c r="H13" s="51">
        <v>0</v>
      </c>
      <c r="I13" s="47">
        <v>0</v>
      </c>
      <c r="J13" s="47">
        <v>0</v>
      </c>
      <c r="K13" s="47">
        <v>0</v>
      </c>
      <c r="L13" s="47">
        <v>0</v>
      </c>
      <c r="M13" s="47">
        <v>0</v>
      </c>
      <c r="N13" s="47">
        <v>0</v>
      </c>
      <c r="O13" s="47">
        <v>0</v>
      </c>
      <c r="P13" s="47">
        <v>0</v>
      </c>
      <c r="Q13" s="47">
        <v>0</v>
      </c>
      <c r="R13" s="47">
        <v>0</v>
      </c>
      <c r="S13" s="47">
        <v>0</v>
      </c>
      <c r="T13" s="47">
        <v>0</v>
      </c>
      <c r="U13" s="52">
        <v>0</v>
      </c>
    </row>
    <row r="14" spans="1:21" x14ac:dyDescent="0.2">
      <c r="A14" s="13" t="s">
        <v>144</v>
      </c>
      <c r="B14" s="51">
        <v>11.56</v>
      </c>
      <c r="C14" s="47">
        <v>5.0000000000000001E-3</v>
      </c>
      <c r="D14" s="47">
        <v>74.06</v>
      </c>
      <c r="E14" s="47">
        <v>0</v>
      </c>
      <c r="F14" s="47">
        <v>215.36</v>
      </c>
      <c r="G14" s="52">
        <v>307.77999999999997</v>
      </c>
      <c r="H14" s="51">
        <v>0</v>
      </c>
      <c r="I14" s="47">
        <v>1.36</v>
      </c>
      <c r="J14" s="47">
        <v>0</v>
      </c>
      <c r="K14" s="47">
        <v>5.0000000000000001E-3</v>
      </c>
      <c r="L14" s="47">
        <v>0</v>
      </c>
      <c r="M14" s="47">
        <v>0</v>
      </c>
      <c r="N14" s="47">
        <v>0</v>
      </c>
      <c r="O14" s="47">
        <v>353.62</v>
      </c>
      <c r="P14" s="47">
        <v>22.4</v>
      </c>
      <c r="Q14" s="47">
        <v>0</v>
      </c>
      <c r="R14" s="47">
        <v>0</v>
      </c>
      <c r="S14" s="47">
        <v>160.4</v>
      </c>
      <c r="T14" s="47">
        <v>1.1200000000000001</v>
      </c>
      <c r="U14" s="52">
        <v>597.08000000000004</v>
      </c>
    </row>
    <row r="15" spans="1:21" x14ac:dyDescent="0.2">
      <c r="A15" s="13" t="s">
        <v>123</v>
      </c>
      <c r="B15" s="51">
        <v>67.680000000000007</v>
      </c>
      <c r="C15" s="47">
        <v>0.01</v>
      </c>
      <c r="D15" s="47">
        <v>0.01</v>
      </c>
      <c r="E15" s="47">
        <v>0</v>
      </c>
      <c r="F15" s="47">
        <v>0</v>
      </c>
      <c r="G15" s="52">
        <v>0</v>
      </c>
      <c r="H15" s="51">
        <v>0</v>
      </c>
      <c r="I15" s="47">
        <v>17.8</v>
      </c>
      <c r="J15" s="47">
        <v>341.2</v>
      </c>
      <c r="K15" s="47">
        <v>98.16</v>
      </c>
      <c r="L15" s="47">
        <v>0</v>
      </c>
      <c r="M15" s="47">
        <v>6</v>
      </c>
      <c r="N15" s="47">
        <v>27.84</v>
      </c>
      <c r="O15" s="47">
        <v>0</v>
      </c>
      <c r="P15" s="47">
        <v>148.96</v>
      </c>
      <c r="Q15" s="47">
        <v>0</v>
      </c>
      <c r="R15" s="47">
        <v>0</v>
      </c>
      <c r="S15" s="47">
        <v>100.44</v>
      </c>
      <c r="T15" s="47">
        <v>54.48</v>
      </c>
      <c r="U15" s="52">
        <v>0</v>
      </c>
    </row>
    <row r="16" spans="1:21" x14ac:dyDescent="0.2">
      <c r="A16" s="4" t="s">
        <v>80</v>
      </c>
      <c r="B16" s="51">
        <v>783.08</v>
      </c>
      <c r="C16" s="47">
        <v>0</v>
      </c>
      <c r="D16" s="47">
        <v>226.96</v>
      </c>
      <c r="E16" s="47">
        <v>0</v>
      </c>
      <c r="F16" s="47">
        <v>0.01</v>
      </c>
      <c r="G16" s="52">
        <v>0</v>
      </c>
      <c r="H16" s="51">
        <v>0</v>
      </c>
      <c r="I16" s="47">
        <v>2.72</v>
      </c>
      <c r="J16" s="47">
        <v>55.2</v>
      </c>
      <c r="K16" s="47">
        <v>0</v>
      </c>
      <c r="L16" s="47">
        <v>0</v>
      </c>
      <c r="M16" s="47">
        <v>218.08</v>
      </c>
      <c r="N16" s="47">
        <v>0</v>
      </c>
      <c r="O16" s="47">
        <v>0</v>
      </c>
      <c r="P16" s="47">
        <v>0</v>
      </c>
      <c r="Q16" s="47">
        <v>0</v>
      </c>
      <c r="R16" s="47">
        <v>0</v>
      </c>
      <c r="S16" s="47">
        <v>1.1200000000000001</v>
      </c>
      <c r="T16" s="47">
        <v>0</v>
      </c>
      <c r="U16" s="52">
        <v>0</v>
      </c>
    </row>
    <row r="17" spans="1:21" x14ac:dyDescent="0.2">
      <c r="A17" s="13" t="s">
        <v>140</v>
      </c>
      <c r="B17" s="51">
        <v>5.08</v>
      </c>
      <c r="C17" s="47">
        <v>0</v>
      </c>
      <c r="D17" s="47">
        <v>0.01</v>
      </c>
      <c r="E17" s="47">
        <v>0</v>
      </c>
      <c r="F17" s="47">
        <v>0</v>
      </c>
      <c r="G17" s="52">
        <v>0</v>
      </c>
      <c r="H17" s="51">
        <v>0</v>
      </c>
      <c r="I17" s="47">
        <v>0</v>
      </c>
      <c r="J17" s="47">
        <v>0</v>
      </c>
      <c r="K17" s="47">
        <v>0</v>
      </c>
      <c r="L17" s="47">
        <v>0</v>
      </c>
      <c r="M17" s="47">
        <v>0</v>
      </c>
      <c r="N17" s="47">
        <v>0</v>
      </c>
      <c r="O17" s="47">
        <v>0</v>
      </c>
      <c r="P17" s="47">
        <v>0</v>
      </c>
      <c r="Q17" s="47">
        <v>0</v>
      </c>
      <c r="R17" s="47">
        <v>0</v>
      </c>
      <c r="S17" s="47">
        <v>0</v>
      </c>
      <c r="T17" s="47">
        <v>0</v>
      </c>
      <c r="U17" s="52">
        <v>0</v>
      </c>
    </row>
    <row r="18" spans="1:21" x14ac:dyDescent="0.2">
      <c r="A18" s="13" t="s">
        <v>125</v>
      </c>
      <c r="B18" s="51">
        <v>0</v>
      </c>
      <c r="C18" s="47">
        <v>0</v>
      </c>
      <c r="D18" s="47">
        <v>0</v>
      </c>
      <c r="E18" s="47">
        <v>0</v>
      </c>
      <c r="F18" s="47">
        <v>0</v>
      </c>
      <c r="G18" s="52">
        <v>0</v>
      </c>
      <c r="H18" s="51">
        <v>0</v>
      </c>
      <c r="I18" s="47">
        <v>0</v>
      </c>
      <c r="J18" s="47">
        <v>0</v>
      </c>
      <c r="K18" s="47">
        <v>4.5199999999999996</v>
      </c>
      <c r="L18" s="47">
        <v>0</v>
      </c>
      <c r="M18" s="47">
        <v>0</v>
      </c>
      <c r="N18" s="47">
        <v>0</v>
      </c>
      <c r="O18" s="47">
        <v>0</v>
      </c>
      <c r="P18" s="47">
        <v>0</v>
      </c>
      <c r="Q18" s="47">
        <v>0</v>
      </c>
      <c r="R18" s="47">
        <v>0</v>
      </c>
      <c r="S18" s="47">
        <v>0</v>
      </c>
      <c r="T18" s="47">
        <v>0</v>
      </c>
      <c r="U18" s="52">
        <v>0</v>
      </c>
    </row>
    <row r="19" spans="1:21" x14ac:dyDescent="0.2">
      <c r="A19" s="13" t="s">
        <v>142</v>
      </c>
      <c r="B19" s="53">
        <v>0.01</v>
      </c>
      <c r="C19" s="54">
        <v>0</v>
      </c>
      <c r="D19" s="54">
        <v>0</v>
      </c>
      <c r="E19" s="54">
        <v>0</v>
      </c>
      <c r="F19" s="54">
        <v>0</v>
      </c>
      <c r="G19" s="55">
        <v>0</v>
      </c>
      <c r="H19" s="53">
        <v>0</v>
      </c>
      <c r="I19" s="54">
        <v>0</v>
      </c>
      <c r="J19" s="54">
        <v>0</v>
      </c>
      <c r="K19" s="54">
        <v>0</v>
      </c>
      <c r="L19" s="54">
        <v>0</v>
      </c>
      <c r="M19" s="54">
        <v>0</v>
      </c>
      <c r="N19" s="54">
        <v>0</v>
      </c>
      <c r="O19" s="54">
        <v>0</v>
      </c>
      <c r="P19" s="54">
        <v>0</v>
      </c>
      <c r="Q19" s="54">
        <v>0</v>
      </c>
      <c r="R19" s="54">
        <v>0</v>
      </c>
      <c r="S19" s="54">
        <v>23.6</v>
      </c>
      <c r="T19" s="54">
        <v>0</v>
      </c>
      <c r="U19" s="55">
        <v>0</v>
      </c>
    </row>
    <row r="20" spans="1:21" x14ac:dyDescent="0.2"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</row>
    <row r="21" spans="1:21" x14ac:dyDescent="0.2"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</row>
  </sheetData>
  <sortState xmlns:xlrd2="http://schemas.microsoft.com/office/spreadsheetml/2017/richdata2" ref="A3:U21">
    <sortCondition ref="A3:A21"/>
  </sortState>
  <mergeCells count="2">
    <mergeCell ref="B1:G1"/>
    <mergeCell ref="H1:U1"/>
  </mergeCells>
  <phoneticPr fontId="2" type="noConversion"/>
  <pageMargins left="0.75" right="0.75" top="1" bottom="1" header="0.5" footer="0.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U28"/>
  <sheetViews>
    <sheetView workbookViewId="0"/>
  </sheetViews>
  <sheetFormatPr baseColWidth="10" defaultColWidth="8.83203125" defaultRowHeight="18" x14ac:dyDescent="0.2"/>
  <cols>
    <col min="1" max="1" width="78.33203125" style="22" customWidth="1"/>
    <col min="2" max="21" width="9.83203125" style="45" customWidth="1"/>
    <col min="22" max="16384" width="8.83203125" style="45"/>
  </cols>
  <sheetData>
    <row r="1" spans="1:21" x14ac:dyDescent="0.2">
      <c r="B1" s="90" t="s">
        <v>26</v>
      </c>
      <c r="C1" s="91"/>
      <c r="D1" s="91"/>
      <c r="E1" s="91"/>
      <c r="F1" s="91"/>
      <c r="G1" s="92"/>
      <c r="H1" s="90" t="s">
        <v>27</v>
      </c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2"/>
    </row>
    <row r="2" spans="1:21" x14ac:dyDescent="0.2">
      <c r="A2" s="57" t="s">
        <v>0</v>
      </c>
      <c r="B2" s="48" t="s">
        <v>1</v>
      </c>
      <c r="C2" s="49" t="s">
        <v>2</v>
      </c>
      <c r="D2" s="49" t="s">
        <v>3</v>
      </c>
      <c r="E2" s="49" t="s">
        <v>4</v>
      </c>
      <c r="F2" s="49" t="s">
        <v>5</v>
      </c>
      <c r="G2" s="50" t="s">
        <v>6</v>
      </c>
      <c r="H2" s="48" t="s">
        <v>7</v>
      </c>
      <c r="I2" s="49" t="s">
        <v>8</v>
      </c>
      <c r="J2" s="49" t="s">
        <v>9</v>
      </c>
      <c r="K2" s="49" t="s">
        <v>10</v>
      </c>
      <c r="L2" s="49" t="s">
        <v>11</v>
      </c>
      <c r="M2" s="49" t="s">
        <v>12</v>
      </c>
      <c r="N2" s="49" t="s">
        <v>13</v>
      </c>
      <c r="O2" s="49" t="s">
        <v>14</v>
      </c>
      <c r="P2" s="49" t="s">
        <v>15</v>
      </c>
      <c r="Q2" s="49" t="s">
        <v>16</v>
      </c>
      <c r="R2" s="49" t="s">
        <v>17</v>
      </c>
      <c r="S2" s="49" t="s">
        <v>18</v>
      </c>
      <c r="T2" s="49" t="s">
        <v>19</v>
      </c>
      <c r="U2" s="50" t="s">
        <v>20</v>
      </c>
    </row>
    <row r="3" spans="1:21" x14ac:dyDescent="0.2">
      <c r="A3" s="13" t="s">
        <v>101</v>
      </c>
      <c r="B3" s="51">
        <v>261.24</v>
      </c>
      <c r="C3" s="47">
        <v>0</v>
      </c>
      <c r="D3" s="47">
        <v>0</v>
      </c>
      <c r="E3" s="47">
        <v>0</v>
      </c>
      <c r="F3" s="47">
        <v>0</v>
      </c>
      <c r="G3" s="52">
        <v>26.52</v>
      </c>
      <c r="H3" s="51">
        <v>1437.52</v>
      </c>
      <c r="I3" s="47">
        <v>494.32</v>
      </c>
      <c r="J3" s="47">
        <v>0</v>
      </c>
      <c r="K3" s="47">
        <v>4.24</v>
      </c>
      <c r="L3" s="47">
        <v>0</v>
      </c>
      <c r="M3" s="47">
        <v>4.5199999999999996</v>
      </c>
      <c r="N3" s="47">
        <v>581.64</v>
      </c>
      <c r="O3" s="47">
        <v>2.16</v>
      </c>
      <c r="P3" s="47">
        <v>0.01</v>
      </c>
      <c r="Q3" s="47">
        <v>0</v>
      </c>
      <c r="R3" s="47">
        <v>0</v>
      </c>
      <c r="S3" s="47">
        <v>0</v>
      </c>
      <c r="T3" s="47">
        <v>0</v>
      </c>
      <c r="U3" s="52">
        <v>0</v>
      </c>
    </row>
    <row r="4" spans="1:21" x14ac:dyDescent="0.2">
      <c r="A4" s="13" t="s">
        <v>163</v>
      </c>
      <c r="B4" s="51">
        <v>3.34</v>
      </c>
      <c r="C4" s="47">
        <v>0</v>
      </c>
      <c r="D4" s="47">
        <v>13.06</v>
      </c>
      <c r="E4" s="47">
        <v>0</v>
      </c>
      <c r="F4" s="47">
        <v>160.30000000000001</v>
      </c>
      <c r="G4" s="52">
        <v>80.08</v>
      </c>
      <c r="H4" s="51">
        <v>0</v>
      </c>
      <c r="I4" s="47">
        <v>3.3</v>
      </c>
      <c r="J4" s="47">
        <v>0</v>
      </c>
      <c r="K4" s="47">
        <v>2.34</v>
      </c>
      <c r="L4" s="47">
        <v>0</v>
      </c>
      <c r="M4" s="47">
        <v>223.3</v>
      </c>
      <c r="N4" s="47">
        <v>0</v>
      </c>
      <c r="O4" s="47">
        <v>0.8</v>
      </c>
      <c r="P4" s="47">
        <v>0</v>
      </c>
      <c r="Q4" s="47">
        <v>0</v>
      </c>
      <c r="R4" s="47">
        <v>0</v>
      </c>
      <c r="S4" s="47">
        <v>2.68</v>
      </c>
      <c r="T4" s="47">
        <v>303.26</v>
      </c>
      <c r="U4" s="52">
        <v>104.38</v>
      </c>
    </row>
    <row r="5" spans="1:21" x14ac:dyDescent="0.2">
      <c r="A5" s="13" t="s">
        <v>103</v>
      </c>
      <c r="B5" s="51">
        <v>551.12</v>
      </c>
      <c r="C5" s="47">
        <v>127.44</v>
      </c>
      <c r="D5" s="47">
        <v>683.6</v>
      </c>
      <c r="E5" s="47">
        <v>71.08</v>
      </c>
      <c r="F5" s="47">
        <v>5.2</v>
      </c>
      <c r="G5" s="52">
        <v>0</v>
      </c>
      <c r="H5" s="51">
        <v>0</v>
      </c>
      <c r="I5" s="47">
        <v>486.28</v>
      </c>
      <c r="J5" s="47">
        <v>876.6</v>
      </c>
      <c r="K5" s="47">
        <v>728.8</v>
      </c>
      <c r="L5" s="47">
        <v>0</v>
      </c>
      <c r="M5" s="47">
        <v>60.28</v>
      </c>
      <c r="N5" s="47">
        <v>430.4</v>
      </c>
      <c r="O5" s="47">
        <v>810.84</v>
      </c>
      <c r="P5" s="47">
        <v>356.4</v>
      </c>
      <c r="Q5" s="47">
        <v>0</v>
      </c>
      <c r="R5" s="47">
        <v>0</v>
      </c>
      <c r="S5" s="47">
        <v>125.64</v>
      </c>
      <c r="T5" s="47">
        <v>10.76</v>
      </c>
      <c r="U5" s="52">
        <v>2.2000000000000002</v>
      </c>
    </row>
    <row r="6" spans="1:21" x14ac:dyDescent="0.2">
      <c r="A6" s="24" t="s">
        <v>95</v>
      </c>
      <c r="B6" s="51">
        <v>0</v>
      </c>
      <c r="C6" s="47">
        <v>3.4</v>
      </c>
      <c r="D6" s="47">
        <v>0</v>
      </c>
      <c r="E6" s="47">
        <v>0</v>
      </c>
      <c r="F6" s="47">
        <v>0</v>
      </c>
      <c r="G6" s="52">
        <v>0</v>
      </c>
      <c r="H6" s="51">
        <v>0</v>
      </c>
      <c r="I6" s="47">
        <v>0</v>
      </c>
      <c r="J6" s="47">
        <v>0</v>
      </c>
      <c r="K6" s="47">
        <v>0</v>
      </c>
      <c r="L6" s="47">
        <v>0</v>
      </c>
      <c r="M6" s="47">
        <v>0</v>
      </c>
      <c r="N6" s="47">
        <v>0</v>
      </c>
      <c r="O6" s="47">
        <v>0</v>
      </c>
      <c r="P6" s="47">
        <v>0</v>
      </c>
      <c r="Q6" s="47">
        <v>0</v>
      </c>
      <c r="R6" s="47">
        <v>0</v>
      </c>
      <c r="S6" s="47">
        <v>2.8</v>
      </c>
      <c r="T6" s="47">
        <v>0</v>
      </c>
      <c r="U6" s="52">
        <v>0</v>
      </c>
    </row>
    <row r="7" spans="1:21" x14ac:dyDescent="0.2">
      <c r="A7" s="13" t="s">
        <v>104</v>
      </c>
      <c r="B7" s="51">
        <v>0</v>
      </c>
      <c r="C7" s="47">
        <v>0</v>
      </c>
      <c r="D7" s="47">
        <v>0</v>
      </c>
      <c r="E7" s="47">
        <v>0</v>
      </c>
      <c r="F7" s="47">
        <v>0</v>
      </c>
      <c r="G7" s="52">
        <v>0</v>
      </c>
      <c r="H7" s="51">
        <v>0</v>
      </c>
      <c r="I7" s="47">
        <v>0.01</v>
      </c>
      <c r="J7" s="47">
        <v>0</v>
      </c>
      <c r="K7" s="47">
        <v>0</v>
      </c>
      <c r="L7" s="47">
        <v>0</v>
      </c>
      <c r="M7" s="47">
        <v>0</v>
      </c>
      <c r="N7" s="47">
        <v>0</v>
      </c>
      <c r="O7" s="47">
        <v>0</v>
      </c>
      <c r="P7" s="47">
        <v>0</v>
      </c>
      <c r="Q7" s="47">
        <v>0</v>
      </c>
      <c r="R7" s="47">
        <v>0</v>
      </c>
      <c r="S7" s="47">
        <v>0</v>
      </c>
      <c r="T7" s="47">
        <v>0</v>
      </c>
      <c r="U7" s="52">
        <v>0</v>
      </c>
    </row>
    <row r="8" spans="1:21" x14ac:dyDescent="0.2">
      <c r="A8" s="13" t="s">
        <v>106</v>
      </c>
      <c r="B8" s="51">
        <v>19.96</v>
      </c>
      <c r="C8" s="47">
        <v>0</v>
      </c>
      <c r="D8" s="47">
        <v>0.96</v>
      </c>
      <c r="E8" s="47">
        <v>43.12</v>
      </c>
      <c r="F8" s="47">
        <v>0</v>
      </c>
      <c r="G8" s="52">
        <v>9.7200000000000006</v>
      </c>
      <c r="H8" s="51">
        <v>0</v>
      </c>
      <c r="I8" s="47">
        <v>0</v>
      </c>
      <c r="J8" s="47">
        <v>2</v>
      </c>
      <c r="K8" s="47">
        <v>44.72</v>
      </c>
      <c r="L8" s="47">
        <v>0</v>
      </c>
      <c r="M8" s="47">
        <v>0</v>
      </c>
      <c r="N8" s="47">
        <v>28.88</v>
      </c>
      <c r="O8" s="47">
        <v>0</v>
      </c>
      <c r="P8" s="47">
        <v>0</v>
      </c>
      <c r="Q8" s="47">
        <v>0</v>
      </c>
      <c r="R8" s="47">
        <v>0</v>
      </c>
      <c r="S8" s="47">
        <v>0</v>
      </c>
      <c r="T8" s="47">
        <v>0</v>
      </c>
      <c r="U8" s="52">
        <v>0</v>
      </c>
    </row>
    <row r="9" spans="1:21" x14ac:dyDescent="0.2">
      <c r="A9" s="13" t="s">
        <v>107</v>
      </c>
      <c r="B9" s="51">
        <v>5.24</v>
      </c>
      <c r="C9" s="47">
        <v>0</v>
      </c>
      <c r="D9" s="47">
        <v>0</v>
      </c>
      <c r="E9" s="47">
        <v>0</v>
      </c>
      <c r="F9" s="47">
        <v>0</v>
      </c>
      <c r="G9" s="52">
        <v>0</v>
      </c>
      <c r="H9" s="51">
        <v>0</v>
      </c>
      <c r="I9" s="47">
        <v>0</v>
      </c>
      <c r="J9" s="47">
        <v>0</v>
      </c>
      <c r="K9" s="47">
        <v>0</v>
      </c>
      <c r="L9" s="47">
        <v>0</v>
      </c>
      <c r="M9" s="47">
        <v>0</v>
      </c>
      <c r="N9" s="47">
        <v>0</v>
      </c>
      <c r="O9" s="47">
        <v>0</v>
      </c>
      <c r="P9" s="47">
        <v>0</v>
      </c>
      <c r="Q9" s="47">
        <v>0</v>
      </c>
      <c r="R9" s="47">
        <v>0</v>
      </c>
      <c r="S9" s="47">
        <v>0</v>
      </c>
      <c r="T9" s="47">
        <v>0</v>
      </c>
      <c r="U9" s="52">
        <v>0</v>
      </c>
    </row>
    <row r="10" spans="1:21" x14ac:dyDescent="0.2">
      <c r="A10" s="13" t="s">
        <v>110</v>
      </c>
      <c r="B10" s="51">
        <v>18</v>
      </c>
      <c r="C10" s="47">
        <v>0</v>
      </c>
      <c r="D10" s="47">
        <v>176.44</v>
      </c>
      <c r="E10" s="47">
        <v>0</v>
      </c>
      <c r="F10" s="47">
        <v>0.2</v>
      </c>
      <c r="G10" s="52">
        <v>0</v>
      </c>
      <c r="H10" s="51">
        <v>0</v>
      </c>
      <c r="I10" s="47">
        <v>2.2000000000000002</v>
      </c>
      <c r="J10" s="47">
        <v>0</v>
      </c>
      <c r="K10" s="47">
        <v>0</v>
      </c>
      <c r="L10" s="47">
        <v>0</v>
      </c>
      <c r="M10" s="47">
        <v>0</v>
      </c>
      <c r="N10" s="47">
        <v>5</v>
      </c>
      <c r="O10" s="47">
        <v>32.96</v>
      </c>
      <c r="P10" s="47">
        <v>14.56</v>
      </c>
      <c r="Q10" s="47">
        <v>0</v>
      </c>
      <c r="R10" s="47">
        <v>0</v>
      </c>
      <c r="S10" s="47">
        <v>0</v>
      </c>
      <c r="T10" s="47">
        <v>12.04</v>
      </c>
      <c r="U10" s="52">
        <v>1.76</v>
      </c>
    </row>
    <row r="11" spans="1:21" x14ac:dyDescent="0.2">
      <c r="A11" s="13" t="s">
        <v>111</v>
      </c>
      <c r="B11" s="51">
        <v>0</v>
      </c>
      <c r="C11" s="47">
        <v>0</v>
      </c>
      <c r="D11" s="47">
        <v>0</v>
      </c>
      <c r="E11" s="47">
        <v>0</v>
      </c>
      <c r="F11" s="47">
        <v>0</v>
      </c>
      <c r="G11" s="52">
        <v>0</v>
      </c>
      <c r="H11" s="51">
        <v>0</v>
      </c>
      <c r="I11" s="47">
        <v>0</v>
      </c>
      <c r="J11" s="47">
        <v>0.88</v>
      </c>
      <c r="K11" s="47">
        <v>14.32</v>
      </c>
      <c r="L11" s="47">
        <v>0</v>
      </c>
      <c r="M11" s="47">
        <v>31.2</v>
      </c>
      <c r="N11" s="47">
        <v>20.64</v>
      </c>
      <c r="O11" s="47">
        <v>0</v>
      </c>
      <c r="P11" s="47">
        <v>0</v>
      </c>
      <c r="Q11" s="47">
        <v>0</v>
      </c>
      <c r="R11" s="47">
        <v>0</v>
      </c>
      <c r="S11" s="47">
        <v>2.84</v>
      </c>
      <c r="T11" s="47">
        <v>0</v>
      </c>
      <c r="U11" s="52">
        <v>2.56</v>
      </c>
    </row>
    <row r="12" spans="1:21" x14ac:dyDescent="0.2">
      <c r="A12" s="13" t="s">
        <v>112</v>
      </c>
      <c r="B12" s="51">
        <v>0.7</v>
      </c>
      <c r="C12" s="47">
        <v>0</v>
      </c>
      <c r="D12" s="47">
        <v>1.4</v>
      </c>
      <c r="E12" s="47">
        <v>0.34</v>
      </c>
      <c r="F12" s="47">
        <v>191.64</v>
      </c>
      <c r="G12" s="52">
        <v>0.98</v>
      </c>
      <c r="H12" s="51">
        <v>0</v>
      </c>
      <c r="I12" s="47">
        <v>0</v>
      </c>
      <c r="J12" s="47">
        <v>0</v>
      </c>
      <c r="K12" s="47">
        <v>0</v>
      </c>
      <c r="L12" s="47">
        <v>0</v>
      </c>
      <c r="M12" s="47">
        <v>2.48</v>
      </c>
      <c r="N12" s="47">
        <v>0</v>
      </c>
      <c r="O12" s="47">
        <v>4.5</v>
      </c>
      <c r="P12" s="47">
        <v>26.02</v>
      </c>
      <c r="Q12" s="47">
        <v>0</v>
      </c>
      <c r="R12" s="47">
        <v>0</v>
      </c>
      <c r="S12" s="47">
        <v>34.26</v>
      </c>
      <c r="T12" s="47">
        <v>73.319999999999993</v>
      </c>
      <c r="U12" s="52">
        <v>81.099999999999994</v>
      </c>
    </row>
    <row r="13" spans="1:21" x14ac:dyDescent="0.2">
      <c r="A13" s="13" t="s">
        <v>113</v>
      </c>
      <c r="B13" s="51">
        <v>0</v>
      </c>
      <c r="C13" s="47">
        <v>0</v>
      </c>
      <c r="D13" s="47">
        <v>0</v>
      </c>
      <c r="E13" s="47">
        <v>0</v>
      </c>
      <c r="F13" s="47">
        <v>0</v>
      </c>
      <c r="G13" s="52">
        <v>8.4</v>
      </c>
      <c r="H13" s="51">
        <v>0</v>
      </c>
      <c r="I13" s="47">
        <v>0</v>
      </c>
      <c r="J13" s="47">
        <v>0</v>
      </c>
      <c r="K13" s="47">
        <v>0</v>
      </c>
      <c r="L13" s="47">
        <v>0</v>
      </c>
      <c r="M13" s="47">
        <v>0</v>
      </c>
      <c r="N13" s="47">
        <v>0</v>
      </c>
      <c r="O13" s="47">
        <v>0</v>
      </c>
      <c r="P13" s="47">
        <v>0</v>
      </c>
      <c r="Q13" s="47">
        <v>0</v>
      </c>
      <c r="R13" s="47">
        <v>0</v>
      </c>
      <c r="S13" s="47">
        <v>0</v>
      </c>
      <c r="T13" s="47">
        <v>0</v>
      </c>
      <c r="U13" s="52">
        <v>0</v>
      </c>
    </row>
    <row r="14" spans="1:21" x14ac:dyDescent="0.2">
      <c r="A14" s="13" t="s">
        <v>114</v>
      </c>
      <c r="B14" s="51">
        <v>0.7</v>
      </c>
      <c r="C14" s="47">
        <v>0</v>
      </c>
      <c r="D14" s="47">
        <v>1.4</v>
      </c>
      <c r="E14" s="47">
        <v>0.34</v>
      </c>
      <c r="F14" s="47">
        <v>191.64</v>
      </c>
      <c r="G14" s="52">
        <v>0.98</v>
      </c>
      <c r="H14" s="51">
        <v>0</v>
      </c>
      <c r="I14" s="47">
        <v>0</v>
      </c>
      <c r="J14" s="47">
        <v>0</v>
      </c>
      <c r="K14" s="47">
        <v>0</v>
      </c>
      <c r="L14" s="47">
        <v>0</v>
      </c>
      <c r="M14" s="47">
        <v>2.48</v>
      </c>
      <c r="N14" s="47">
        <v>0</v>
      </c>
      <c r="O14" s="47">
        <v>4.5</v>
      </c>
      <c r="P14" s="47">
        <v>26.02</v>
      </c>
      <c r="Q14" s="47">
        <v>0</v>
      </c>
      <c r="R14" s="47">
        <v>0</v>
      </c>
      <c r="S14" s="47">
        <v>34.26</v>
      </c>
      <c r="T14" s="47">
        <v>73.319999999999993</v>
      </c>
      <c r="U14" s="52">
        <v>81.099999999999994</v>
      </c>
    </row>
    <row r="15" spans="1:21" x14ac:dyDescent="0.2">
      <c r="A15" s="22" t="s">
        <v>84</v>
      </c>
      <c r="B15" s="51">
        <v>0</v>
      </c>
      <c r="C15" s="47">
        <v>0</v>
      </c>
      <c r="D15" s="47">
        <v>0</v>
      </c>
      <c r="E15" s="47">
        <v>0</v>
      </c>
      <c r="F15" s="47">
        <v>0.01</v>
      </c>
      <c r="G15" s="52">
        <v>0</v>
      </c>
      <c r="H15" s="51">
        <v>0</v>
      </c>
      <c r="I15" s="47">
        <v>0.01</v>
      </c>
      <c r="J15" s="47">
        <v>0</v>
      </c>
      <c r="K15" s="47">
        <v>0</v>
      </c>
      <c r="L15" s="47">
        <v>0</v>
      </c>
      <c r="M15" s="47">
        <v>0</v>
      </c>
      <c r="N15" s="47">
        <v>0</v>
      </c>
      <c r="O15" s="47">
        <v>0</v>
      </c>
      <c r="P15" s="47">
        <v>0</v>
      </c>
      <c r="Q15" s="47">
        <v>0</v>
      </c>
      <c r="R15" s="47">
        <v>0</v>
      </c>
      <c r="S15" s="47">
        <v>0</v>
      </c>
      <c r="T15" s="47">
        <v>0</v>
      </c>
      <c r="U15" s="52">
        <v>0</v>
      </c>
    </row>
    <row r="16" spans="1:21" x14ac:dyDescent="0.2">
      <c r="A16" s="13" t="s">
        <v>117</v>
      </c>
      <c r="B16" s="51">
        <v>0</v>
      </c>
      <c r="C16" s="47">
        <v>0</v>
      </c>
      <c r="D16" s="47">
        <v>2.72</v>
      </c>
      <c r="E16" s="47">
        <v>0</v>
      </c>
      <c r="F16" s="47">
        <v>1.76</v>
      </c>
      <c r="G16" s="52">
        <v>1.24</v>
      </c>
      <c r="H16" s="51">
        <v>0</v>
      </c>
      <c r="I16" s="47">
        <v>0</v>
      </c>
      <c r="J16" s="47">
        <v>1.68</v>
      </c>
      <c r="K16" s="47">
        <v>0</v>
      </c>
      <c r="L16" s="47">
        <v>0</v>
      </c>
      <c r="M16" s="47">
        <v>0</v>
      </c>
      <c r="N16" s="47">
        <v>5.56</v>
      </c>
      <c r="O16" s="47">
        <v>0</v>
      </c>
      <c r="P16" s="47">
        <v>0</v>
      </c>
      <c r="Q16" s="47">
        <v>0</v>
      </c>
      <c r="R16" s="47">
        <v>0</v>
      </c>
      <c r="S16" s="47">
        <v>0.01</v>
      </c>
      <c r="T16" s="47">
        <v>0</v>
      </c>
      <c r="U16" s="52">
        <v>0.8</v>
      </c>
    </row>
    <row r="17" spans="1:21" x14ac:dyDescent="0.2">
      <c r="A17" s="13" t="s">
        <v>118</v>
      </c>
      <c r="B17" s="51">
        <v>0</v>
      </c>
      <c r="C17" s="47">
        <v>0</v>
      </c>
      <c r="D17" s="47">
        <v>0</v>
      </c>
      <c r="E17" s="47">
        <v>0</v>
      </c>
      <c r="F17" s="47">
        <v>0.28000000000000003</v>
      </c>
      <c r="G17" s="52">
        <v>1.28</v>
      </c>
      <c r="H17" s="51">
        <v>0</v>
      </c>
      <c r="I17" s="47">
        <v>0</v>
      </c>
      <c r="J17" s="47">
        <v>0</v>
      </c>
      <c r="K17" s="47">
        <v>0</v>
      </c>
      <c r="L17" s="47">
        <v>0</v>
      </c>
      <c r="M17" s="47">
        <v>0</v>
      </c>
      <c r="N17" s="47">
        <v>0</v>
      </c>
      <c r="O17" s="47">
        <v>0</v>
      </c>
      <c r="P17" s="47">
        <v>0</v>
      </c>
      <c r="Q17" s="47">
        <v>0</v>
      </c>
      <c r="R17" s="47">
        <v>0</v>
      </c>
      <c r="S17" s="47">
        <v>0</v>
      </c>
      <c r="T17" s="47">
        <v>0</v>
      </c>
      <c r="U17" s="52">
        <v>0</v>
      </c>
    </row>
    <row r="18" spans="1:21" x14ac:dyDescent="0.2">
      <c r="A18" s="13" t="s">
        <v>119</v>
      </c>
      <c r="B18" s="51">
        <v>0.28000000000000003</v>
      </c>
      <c r="C18" s="47">
        <v>0</v>
      </c>
      <c r="D18" s="47">
        <v>0</v>
      </c>
      <c r="E18" s="47">
        <v>0</v>
      </c>
      <c r="F18" s="47">
        <v>0.01</v>
      </c>
      <c r="G18" s="52">
        <v>0.48</v>
      </c>
      <c r="H18" s="51">
        <v>0</v>
      </c>
      <c r="I18" s="47">
        <v>0</v>
      </c>
      <c r="J18" s="47">
        <v>0</v>
      </c>
      <c r="K18" s="47">
        <v>0</v>
      </c>
      <c r="L18" s="47">
        <v>0</v>
      </c>
      <c r="M18" s="47">
        <v>0</v>
      </c>
      <c r="N18" s="47">
        <v>0</v>
      </c>
      <c r="O18" s="47">
        <v>0</v>
      </c>
      <c r="P18" s="47">
        <v>0</v>
      </c>
      <c r="Q18" s="47">
        <v>0</v>
      </c>
      <c r="R18" s="47">
        <v>0</v>
      </c>
      <c r="S18" s="47">
        <v>0</v>
      </c>
      <c r="T18" s="47">
        <v>0</v>
      </c>
      <c r="U18" s="52">
        <v>0</v>
      </c>
    </row>
    <row r="19" spans="1:21" x14ac:dyDescent="0.2">
      <c r="A19" s="13" t="s">
        <v>121</v>
      </c>
      <c r="B19" s="51">
        <v>0</v>
      </c>
      <c r="C19" s="47">
        <v>0</v>
      </c>
      <c r="D19" s="47">
        <v>0</v>
      </c>
      <c r="E19" s="47">
        <v>0</v>
      </c>
      <c r="F19" s="47">
        <v>0</v>
      </c>
      <c r="G19" s="52">
        <v>0</v>
      </c>
      <c r="H19" s="51">
        <v>0</v>
      </c>
      <c r="I19" s="47">
        <v>0</v>
      </c>
      <c r="J19" s="47">
        <v>0</v>
      </c>
      <c r="K19" s="47">
        <v>0</v>
      </c>
      <c r="L19" s="47">
        <v>0</v>
      </c>
      <c r="M19" s="47">
        <v>0</v>
      </c>
      <c r="N19" s="47">
        <v>0</v>
      </c>
      <c r="O19" s="47">
        <v>0</v>
      </c>
      <c r="P19" s="47">
        <v>0.01</v>
      </c>
      <c r="Q19" s="47">
        <v>0</v>
      </c>
      <c r="R19" s="47">
        <v>0</v>
      </c>
      <c r="S19" s="47">
        <v>0</v>
      </c>
      <c r="T19" s="47">
        <v>0</v>
      </c>
      <c r="U19" s="52">
        <v>0</v>
      </c>
    </row>
    <row r="20" spans="1:21" x14ac:dyDescent="0.2">
      <c r="A20" s="13" t="s">
        <v>122</v>
      </c>
      <c r="B20" s="51">
        <v>0</v>
      </c>
      <c r="C20" s="47">
        <v>0</v>
      </c>
      <c r="D20" s="47">
        <v>0</v>
      </c>
      <c r="E20" s="47">
        <v>1.08</v>
      </c>
      <c r="F20" s="47">
        <v>0</v>
      </c>
      <c r="G20" s="52">
        <v>0</v>
      </c>
      <c r="H20" s="51">
        <v>0</v>
      </c>
      <c r="I20" s="47">
        <v>0</v>
      </c>
      <c r="J20" s="47">
        <v>0</v>
      </c>
      <c r="K20" s="47">
        <v>0</v>
      </c>
      <c r="L20" s="47">
        <v>0</v>
      </c>
      <c r="M20" s="47">
        <v>0</v>
      </c>
      <c r="N20" s="47">
        <v>0</v>
      </c>
      <c r="O20" s="47">
        <v>0</v>
      </c>
      <c r="P20" s="47">
        <v>0</v>
      </c>
      <c r="Q20" s="47">
        <v>0</v>
      </c>
      <c r="R20" s="47">
        <v>0</v>
      </c>
      <c r="S20" s="47">
        <v>0</v>
      </c>
      <c r="T20" s="47">
        <v>0</v>
      </c>
      <c r="U20" s="52">
        <v>0</v>
      </c>
    </row>
    <row r="21" spans="1:21" x14ac:dyDescent="0.2">
      <c r="A21" s="13" t="s">
        <v>144</v>
      </c>
      <c r="B21" s="51">
        <v>3.34</v>
      </c>
      <c r="C21" s="47">
        <v>0</v>
      </c>
      <c r="D21" s="47">
        <v>13.06</v>
      </c>
      <c r="E21" s="47">
        <v>0</v>
      </c>
      <c r="F21" s="47">
        <v>160.30000000000001</v>
      </c>
      <c r="G21" s="52">
        <v>80.08</v>
      </c>
      <c r="H21" s="51">
        <v>0</v>
      </c>
      <c r="I21" s="47">
        <v>3.3</v>
      </c>
      <c r="J21" s="47">
        <v>0</v>
      </c>
      <c r="K21" s="47">
        <v>2.34</v>
      </c>
      <c r="L21" s="47">
        <v>0</v>
      </c>
      <c r="M21" s="47">
        <v>223.3</v>
      </c>
      <c r="N21" s="47">
        <v>0</v>
      </c>
      <c r="O21" s="47">
        <v>0.8</v>
      </c>
      <c r="P21" s="47">
        <v>0</v>
      </c>
      <c r="Q21" s="47">
        <v>0</v>
      </c>
      <c r="R21" s="47">
        <v>0</v>
      </c>
      <c r="S21" s="47">
        <v>2.68</v>
      </c>
      <c r="T21" s="47">
        <v>303.26</v>
      </c>
      <c r="U21" s="52">
        <v>104.38</v>
      </c>
    </row>
    <row r="22" spans="1:21" x14ac:dyDescent="0.2">
      <c r="A22" s="13" t="s">
        <v>123</v>
      </c>
      <c r="B22" s="51">
        <v>69.84</v>
      </c>
      <c r="C22" s="47">
        <v>477.88</v>
      </c>
      <c r="D22" s="47">
        <v>0</v>
      </c>
      <c r="E22" s="47">
        <v>253.44</v>
      </c>
      <c r="F22" s="47">
        <v>0</v>
      </c>
      <c r="G22" s="52">
        <v>0.01</v>
      </c>
      <c r="H22" s="51">
        <v>82.24</v>
      </c>
      <c r="I22" s="47">
        <v>23.76</v>
      </c>
      <c r="J22" s="47">
        <v>2.3199999999999998</v>
      </c>
      <c r="K22" s="47">
        <v>247.4</v>
      </c>
      <c r="L22" s="47">
        <v>0</v>
      </c>
      <c r="M22" s="47">
        <v>169.12</v>
      </c>
      <c r="N22" s="47">
        <v>31.4</v>
      </c>
      <c r="O22" s="47">
        <v>1.72</v>
      </c>
      <c r="P22" s="47">
        <v>199.44</v>
      </c>
      <c r="Q22" s="47">
        <v>0</v>
      </c>
      <c r="R22" s="47">
        <v>0</v>
      </c>
      <c r="S22" s="47">
        <v>136.24</v>
      </c>
      <c r="T22" s="47">
        <v>34.119999999999997</v>
      </c>
      <c r="U22" s="52">
        <v>50.44</v>
      </c>
    </row>
    <row r="23" spans="1:21" x14ac:dyDescent="0.2">
      <c r="A23" s="4" t="s">
        <v>80</v>
      </c>
      <c r="B23" s="51">
        <v>170.48</v>
      </c>
      <c r="C23" s="47">
        <v>0</v>
      </c>
      <c r="D23" s="47">
        <v>0</v>
      </c>
      <c r="E23" s="47">
        <v>0</v>
      </c>
      <c r="F23" s="47">
        <v>0</v>
      </c>
      <c r="G23" s="52">
        <v>0</v>
      </c>
      <c r="H23" s="51">
        <v>0</v>
      </c>
      <c r="I23" s="47">
        <v>0</v>
      </c>
      <c r="J23" s="47">
        <v>0</v>
      </c>
      <c r="K23" s="47">
        <v>0</v>
      </c>
      <c r="L23" s="47">
        <v>0</v>
      </c>
      <c r="M23" s="47">
        <v>0</v>
      </c>
      <c r="N23" s="47">
        <v>0</v>
      </c>
      <c r="O23" s="47">
        <v>146.04</v>
      </c>
      <c r="P23" s="47">
        <v>143.88</v>
      </c>
      <c r="Q23" s="47">
        <v>0</v>
      </c>
      <c r="R23" s="47">
        <v>0</v>
      </c>
      <c r="S23" s="47">
        <v>3.16</v>
      </c>
      <c r="T23" s="47">
        <v>0</v>
      </c>
      <c r="U23" s="52">
        <v>0</v>
      </c>
    </row>
    <row r="24" spans="1:21" x14ac:dyDescent="0.2">
      <c r="A24" s="13" t="s">
        <v>154</v>
      </c>
      <c r="B24" s="51">
        <v>0</v>
      </c>
      <c r="C24" s="47">
        <v>0</v>
      </c>
      <c r="D24" s="47">
        <v>0</v>
      </c>
      <c r="E24" s="47">
        <v>0</v>
      </c>
      <c r="F24" s="47">
        <v>0</v>
      </c>
      <c r="G24" s="52">
        <v>0</v>
      </c>
      <c r="H24" s="51">
        <v>0</v>
      </c>
      <c r="I24" s="47">
        <v>0.01</v>
      </c>
      <c r="J24" s="47">
        <v>0</v>
      </c>
      <c r="K24" s="47">
        <v>0</v>
      </c>
      <c r="L24" s="47">
        <v>0</v>
      </c>
      <c r="M24" s="47">
        <v>0</v>
      </c>
      <c r="N24" s="47">
        <v>0</v>
      </c>
      <c r="O24" s="47">
        <v>0</v>
      </c>
      <c r="P24" s="47">
        <v>0</v>
      </c>
      <c r="Q24" s="47">
        <v>0</v>
      </c>
      <c r="R24" s="47">
        <v>0</v>
      </c>
      <c r="S24" s="47">
        <v>0</v>
      </c>
      <c r="T24" s="47">
        <v>0</v>
      </c>
      <c r="U24" s="52">
        <v>0</v>
      </c>
    </row>
    <row r="25" spans="1:21" x14ac:dyDescent="0.2">
      <c r="A25" s="13" t="s">
        <v>140</v>
      </c>
      <c r="B25" s="51">
        <v>0</v>
      </c>
      <c r="C25" s="47">
        <v>0</v>
      </c>
      <c r="D25" s="47">
        <v>0</v>
      </c>
      <c r="E25" s="47">
        <v>0</v>
      </c>
      <c r="F25" s="47">
        <v>245.56</v>
      </c>
      <c r="G25" s="52">
        <v>225.68</v>
      </c>
      <c r="H25" s="51">
        <v>0</v>
      </c>
      <c r="I25" s="47">
        <v>0</v>
      </c>
      <c r="J25" s="47">
        <v>0</v>
      </c>
      <c r="K25" s="47">
        <v>0</v>
      </c>
      <c r="L25" s="47">
        <v>0</v>
      </c>
      <c r="M25" s="47">
        <v>0</v>
      </c>
      <c r="N25" s="47">
        <v>0</v>
      </c>
      <c r="O25" s="47">
        <v>0</v>
      </c>
      <c r="P25" s="47">
        <v>0.01</v>
      </c>
      <c r="Q25" s="47">
        <v>0</v>
      </c>
      <c r="R25" s="47">
        <v>0</v>
      </c>
      <c r="S25" s="47">
        <v>0</v>
      </c>
      <c r="T25" s="47">
        <v>0</v>
      </c>
      <c r="U25" s="52">
        <v>0</v>
      </c>
    </row>
    <row r="26" spans="1:21" x14ac:dyDescent="0.2">
      <c r="A26" s="13" t="s">
        <v>165</v>
      </c>
      <c r="B26" s="51">
        <v>0</v>
      </c>
      <c r="C26" s="47">
        <v>0</v>
      </c>
      <c r="D26" s="47">
        <v>0</v>
      </c>
      <c r="E26" s="47">
        <v>0</v>
      </c>
      <c r="F26" s="47">
        <v>0</v>
      </c>
      <c r="G26" s="52">
        <v>0.01</v>
      </c>
      <c r="H26" s="51">
        <v>0</v>
      </c>
      <c r="I26" s="47">
        <v>0</v>
      </c>
      <c r="J26" s="47">
        <v>0</v>
      </c>
      <c r="K26" s="47">
        <v>0</v>
      </c>
      <c r="L26" s="47">
        <v>0</v>
      </c>
      <c r="M26" s="47">
        <v>0</v>
      </c>
      <c r="N26" s="47">
        <v>0</v>
      </c>
      <c r="O26" s="47">
        <v>0</v>
      </c>
      <c r="P26" s="47">
        <v>0</v>
      </c>
      <c r="Q26" s="47">
        <v>0</v>
      </c>
      <c r="R26" s="47">
        <v>0</v>
      </c>
      <c r="S26" s="47">
        <v>0</v>
      </c>
      <c r="T26" s="47">
        <v>0</v>
      </c>
      <c r="U26" s="52">
        <v>0</v>
      </c>
    </row>
    <row r="27" spans="1:21" x14ac:dyDescent="0.2">
      <c r="A27" s="15" t="s">
        <v>126</v>
      </c>
      <c r="B27" s="53">
        <v>0</v>
      </c>
      <c r="C27" s="54">
        <v>0</v>
      </c>
      <c r="D27" s="54">
        <v>0</v>
      </c>
      <c r="E27" s="54">
        <v>0</v>
      </c>
      <c r="F27" s="54">
        <v>1.1599999999999999</v>
      </c>
      <c r="G27" s="55">
        <v>0</v>
      </c>
      <c r="H27" s="53">
        <v>0</v>
      </c>
      <c r="I27" s="54">
        <v>0</v>
      </c>
      <c r="J27" s="54">
        <v>0</v>
      </c>
      <c r="K27" s="54">
        <v>0</v>
      </c>
      <c r="L27" s="54">
        <v>0</v>
      </c>
      <c r="M27" s="54">
        <v>0</v>
      </c>
      <c r="N27" s="54">
        <v>0</v>
      </c>
      <c r="O27" s="54">
        <v>0</v>
      </c>
      <c r="P27" s="54">
        <v>0</v>
      </c>
      <c r="Q27" s="54">
        <v>0</v>
      </c>
      <c r="R27" s="54">
        <v>0</v>
      </c>
      <c r="S27" s="54">
        <v>0</v>
      </c>
      <c r="T27" s="54">
        <v>0</v>
      </c>
      <c r="U27" s="55">
        <v>0</v>
      </c>
    </row>
    <row r="28" spans="1:21" x14ac:dyDescent="0.2">
      <c r="A28" s="15"/>
    </row>
  </sheetData>
  <sortState xmlns:xlrd2="http://schemas.microsoft.com/office/spreadsheetml/2017/richdata2" ref="A3:A29">
    <sortCondition ref="A3:A29"/>
  </sortState>
  <mergeCells count="2">
    <mergeCell ref="B1:G1"/>
    <mergeCell ref="H1:U1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V28"/>
  <sheetViews>
    <sheetView workbookViewId="0"/>
  </sheetViews>
  <sheetFormatPr baseColWidth="10" defaultColWidth="8.83203125" defaultRowHeight="18" x14ac:dyDescent="0.2"/>
  <cols>
    <col min="1" max="1" width="79.6640625" style="22" customWidth="1"/>
    <col min="2" max="21" width="9.83203125" style="45" customWidth="1"/>
    <col min="22" max="22" width="9.1640625" style="45" customWidth="1"/>
    <col min="23" max="23" width="8.83203125" style="45" customWidth="1"/>
    <col min="24" max="28" width="9.1640625" style="45" customWidth="1"/>
    <col min="29" max="16384" width="8.83203125" style="45"/>
  </cols>
  <sheetData>
    <row r="1" spans="1:22" x14ac:dyDescent="0.2">
      <c r="B1" s="90" t="s">
        <v>26</v>
      </c>
      <c r="C1" s="91"/>
      <c r="D1" s="91"/>
      <c r="E1" s="91"/>
      <c r="F1" s="91"/>
      <c r="G1" s="92"/>
      <c r="H1" s="90" t="s">
        <v>27</v>
      </c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2"/>
      <c r="V1" s="44"/>
    </row>
    <row r="2" spans="1:22" x14ac:dyDescent="0.2">
      <c r="A2" s="57" t="s">
        <v>100</v>
      </c>
      <c r="B2" s="48" t="s">
        <v>1</v>
      </c>
      <c r="C2" s="49" t="s">
        <v>2</v>
      </c>
      <c r="D2" s="49" t="s">
        <v>3</v>
      </c>
      <c r="E2" s="49" t="s">
        <v>4</v>
      </c>
      <c r="F2" s="49" t="s">
        <v>5</v>
      </c>
      <c r="G2" s="50" t="s">
        <v>6</v>
      </c>
      <c r="H2" s="48" t="s">
        <v>7</v>
      </c>
      <c r="I2" s="49" t="s">
        <v>8</v>
      </c>
      <c r="J2" s="49" t="s">
        <v>9</v>
      </c>
      <c r="K2" s="49" t="s">
        <v>10</v>
      </c>
      <c r="L2" s="49" t="s">
        <v>11</v>
      </c>
      <c r="M2" s="49" t="s">
        <v>12</v>
      </c>
      <c r="N2" s="49" t="s">
        <v>13</v>
      </c>
      <c r="O2" s="49" t="s">
        <v>14</v>
      </c>
      <c r="P2" s="49" t="s">
        <v>15</v>
      </c>
      <c r="Q2" s="49" t="s">
        <v>16</v>
      </c>
      <c r="R2" s="49" t="s">
        <v>17</v>
      </c>
      <c r="S2" s="49" t="s">
        <v>18</v>
      </c>
      <c r="T2" s="49" t="s">
        <v>19</v>
      </c>
      <c r="U2" s="50" t="s">
        <v>20</v>
      </c>
    </row>
    <row r="3" spans="1:22" x14ac:dyDescent="0.2">
      <c r="A3" s="13" t="s">
        <v>101</v>
      </c>
      <c r="B3" s="51">
        <v>0</v>
      </c>
      <c r="C3" s="47">
        <v>0.01</v>
      </c>
      <c r="D3" s="47">
        <v>5.92</v>
      </c>
      <c r="E3" s="47">
        <v>0</v>
      </c>
      <c r="F3" s="47">
        <v>0</v>
      </c>
      <c r="G3" s="52">
        <v>0</v>
      </c>
      <c r="H3" s="51">
        <v>675.72</v>
      </c>
      <c r="I3" s="47">
        <v>6.04</v>
      </c>
      <c r="J3" s="47">
        <v>3.4</v>
      </c>
      <c r="K3" s="47">
        <v>0.01</v>
      </c>
      <c r="L3" s="47">
        <v>0</v>
      </c>
      <c r="M3" s="47">
        <v>560.64</v>
      </c>
      <c r="N3" s="47">
        <v>12.36</v>
      </c>
      <c r="O3" s="47">
        <v>2.84</v>
      </c>
      <c r="P3" s="47">
        <v>0</v>
      </c>
      <c r="Q3" s="47">
        <v>0</v>
      </c>
      <c r="R3" s="47">
        <v>0</v>
      </c>
      <c r="S3" s="47">
        <v>0.01</v>
      </c>
      <c r="T3" s="47">
        <v>0</v>
      </c>
      <c r="U3" s="52">
        <v>0</v>
      </c>
    </row>
    <row r="4" spans="1:22" x14ac:dyDescent="0.2">
      <c r="A4" s="13" t="s">
        <v>163</v>
      </c>
      <c r="B4" s="51">
        <v>19.12</v>
      </c>
      <c r="C4" s="47">
        <v>0</v>
      </c>
      <c r="D4" s="47">
        <v>15.98</v>
      </c>
      <c r="E4" s="47">
        <v>0</v>
      </c>
      <c r="F4" s="47">
        <v>30.96</v>
      </c>
      <c r="G4" s="52">
        <v>15.1</v>
      </c>
      <c r="H4" s="51">
        <v>1.08</v>
      </c>
      <c r="I4" s="47">
        <v>2.86</v>
      </c>
      <c r="J4" s="47">
        <v>65.12</v>
      </c>
      <c r="K4" s="47">
        <v>8.98</v>
      </c>
      <c r="L4" s="47">
        <v>4.0199999999999996</v>
      </c>
      <c r="M4" s="47">
        <v>12.12</v>
      </c>
      <c r="N4" s="47">
        <v>7.32</v>
      </c>
      <c r="O4" s="47">
        <v>50.52</v>
      </c>
      <c r="P4" s="47">
        <v>0</v>
      </c>
      <c r="Q4" s="47">
        <v>3.74</v>
      </c>
      <c r="R4" s="47">
        <v>0</v>
      </c>
      <c r="S4" s="47">
        <v>255.56</v>
      </c>
      <c r="T4" s="47">
        <v>178.24</v>
      </c>
      <c r="U4" s="52">
        <v>134.5</v>
      </c>
    </row>
    <row r="5" spans="1:22" x14ac:dyDescent="0.2">
      <c r="A5" s="13" t="s">
        <v>103</v>
      </c>
      <c r="B5" s="51">
        <v>509.92</v>
      </c>
      <c r="C5" s="47">
        <v>310.64</v>
      </c>
      <c r="D5" s="47">
        <v>576.44000000000005</v>
      </c>
      <c r="E5" s="47">
        <v>634.32000000000005</v>
      </c>
      <c r="F5" s="47">
        <v>0</v>
      </c>
      <c r="G5" s="52">
        <v>0</v>
      </c>
      <c r="H5" s="51">
        <v>592.79999999999995</v>
      </c>
      <c r="I5" s="47">
        <v>456.48</v>
      </c>
      <c r="J5" s="47">
        <v>678.72</v>
      </c>
      <c r="K5" s="47">
        <v>863.6</v>
      </c>
      <c r="L5" s="47">
        <v>8.08</v>
      </c>
      <c r="M5" s="47">
        <v>617</v>
      </c>
      <c r="N5" s="47">
        <v>113.8</v>
      </c>
      <c r="O5" s="47">
        <v>252.4</v>
      </c>
      <c r="P5" s="47">
        <v>519.36</v>
      </c>
      <c r="Q5" s="47">
        <v>150.72</v>
      </c>
      <c r="R5" s="47">
        <v>0</v>
      </c>
      <c r="S5" s="47">
        <v>8.08</v>
      </c>
      <c r="T5" s="47">
        <v>0.8</v>
      </c>
      <c r="U5" s="52">
        <v>0</v>
      </c>
    </row>
    <row r="6" spans="1:22" x14ac:dyDescent="0.2">
      <c r="A6" s="13" t="s">
        <v>104</v>
      </c>
      <c r="B6" s="51">
        <v>0.01</v>
      </c>
      <c r="C6" s="47">
        <v>0.01</v>
      </c>
      <c r="D6" s="47">
        <v>0</v>
      </c>
      <c r="E6" s="47">
        <v>0.01</v>
      </c>
      <c r="F6" s="47">
        <v>0</v>
      </c>
      <c r="G6" s="52">
        <v>0.01</v>
      </c>
      <c r="H6" s="51">
        <v>0</v>
      </c>
      <c r="I6" s="47">
        <v>0</v>
      </c>
      <c r="J6" s="47">
        <v>0</v>
      </c>
      <c r="K6" s="47">
        <v>0</v>
      </c>
      <c r="L6" s="47">
        <v>0</v>
      </c>
      <c r="M6" s="47">
        <v>0</v>
      </c>
      <c r="N6" s="47">
        <v>0.01</v>
      </c>
      <c r="O6" s="47">
        <v>0.01</v>
      </c>
      <c r="P6" s="47">
        <v>0.01</v>
      </c>
      <c r="Q6" s="47">
        <v>0</v>
      </c>
      <c r="R6" s="47">
        <v>0</v>
      </c>
      <c r="S6" s="47">
        <v>0</v>
      </c>
      <c r="T6" s="47">
        <v>0</v>
      </c>
      <c r="U6" s="52">
        <v>0</v>
      </c>
    </row>
    <row r="7" spans="1:22" x14ac:dyDescent="0.2">
      <c r="A7" s="13" t="s">
        <v>36</v>
      </c>
      <c r="B7" s="51">
        <v>0</v>
      </c>
      <c r="C7" s="47">
        <v>0</v>
      </c>
      <c r="D7" s="47">
        <v>0</v>
      </c>
      <c r="E7" s="47">
        <v>0</v>
      </c>
      <c r="F7" s="47">
        <v>0</v>
      </c>
      <c r="G7" s="52">
        <v>0.01</v>
      </c>
      <c r="H7" s="51">
        <v>0</v>
      </c>
      <c r="I7" s="47">
        <v>0</v>
      </c>
      <c r="J7" s="47">
        <v>0</v>
      </c>
      <c r="K7" s="47">
        <v>0</v>
      </c>
      <c r="L7" s="47">
        <v>0</v>
      </c>
      <c r="M7" s="47">
        <v>0</v>
      </c>
      <c r="N7" s="47">
        <v>0</v>
      </c>
      <c r="O7" s="47">
        <v>0</v>
      </c>
      <c r="P7" s="47">
        <v>0</v>
      </c>
      <c r="Q7" s="47">
        <v>0</v>
      </c>
      <c r="R7" s="47">
        <v>0</v>
      </c>
      <c r="S7" s="47">
        <v>0</v>
      </c>
      <c r="T7" s="47">
        <v>0</v>
      </c>
      <c r="U7" s="52">
        <v>0</v>
      </c>
    </row>
    <row r="8" spans="1:22" x14ac:dyDescent="0.2">
      <c r="A8" s="22" t="s">
        <v>167</v>
      </c>
      <c r="B8" s="51">
        <v>0.01</v>
      </c>
      <c r="C8" s="47">
        <v>0</v>
      </c>
      <c r="D8" s="47">
        <v>0</v>
      </c>
      <c r="E8" s="47">
        <v>0</v>
      </c>
      <c r="F8" s="47">
        <v>0</v>
      </c>
      <c r="G8" s="52">
        <v>0</v>
      </c>
      <c r="H8" s="51">
        <v>0</v>
      </c>
      <c r="I8" s="47">
        <v>0</v>
      </c>
      <c r="J8" s="47">
        <v>0</v>
      </c>
      <c r="K8" s="47">
        <v>0</v>
      </c>
      <c r="L8" s="47">
        <v>0</v>
      </c>
      <c r="M8" s="47">
        <v>0</v>
      </c>
      <c r="N8" s="47">
        <v>0</v>
      </c>
      <c r="O8" s="47">
        <v>0</v>
      </c>
      <c r="P8" s="47">
        <v>0</v>
      </c>
      <c r="Q8" s="47">
        <v>0</v>
      </c>
      <c r="R8" s="47">
        <v>0</v>
      </c>
      <c r="S8" s="47">
        <v>0</v>
      </c>
      <c r="T8" s="47">
        <v>0</v>
      </c>
      <c r="U8" s="52">
        <v>0</v>
      </c>
    </row>
    <row r="9" spans="1:22" x14ac:dyDescent="0.2">
      <c r="A9" s="13" t="s">
        <v>106</v>
      </c>
      <c r="B9" s="51">
        <v>0.01</v>
      </c>
      <c r="C9" s="47">
        <v>0</v>
      </c>
      <c r="D9" s="47">
        <v>1.8</v>
      </c>
      <c r="E9" s="47">
        <v>3.28</v>
      </c>
      <c r="F9" s="47">
        <v>0.01</v>
      </c>
      <c r="G9" s="52">
        <v>0.01</v>
      </c>
      <c r="H9" s="51">
        <v>0</v>
      </c>
      <c r="I9" s="47">
        <v>597.08000000000004</v>
      </c>
      <c r="J9" s="47">
        <v>225.6</v>
      </c>
      <c r="K9" s="47">
        <v>0.01</v>
      </c>
      <c r="L9" s="47">
        <v>0</v>
      </c>
      <c r="M9" s="47">
        <v>0.01</v>
      </c>
      <c r="N9" s="47">
        <v>0</v>
      </c>
      <c r="O9" s="47">
        <v>0</v>
      </c>
      <c r="P9" s="47">
        <v>0</v>
      </c>
      <c r="Q9" s="47">
        <v>0</v>
      </c>
      <c r="R9" s="47">
        <v>0</v>
      </c>
      <c r="S9" s="47">
        <v>0</v>
      </c>
      <c r="T9" s="47">
        <v>0</v>
      </c>
      <c r="U9" s="52">
        <v>0</v>
      </c>
    </row>
    <row r="10" spans="1:22" x14ac:dyDescent="0.2">
      <c r="A10" s="13" t="s">
        <v>109</v>
      </c>
      <c r="B10" s="51">
        <v>0</v>
      </c>
      <c r="C10" s="47">
        <v>0</v>
      </c>
      <c r="D10" s="47">
        <v>0</v>
      </c>
      <c r="E10" s="47">
        <v>0</v>
      </c>
      <c r="F10" s="47">
        <v>0</v>
      </c>
      <c r="G10" s="52">
        <v>0</v>
      </c>
      <c r="H10" s="51">
        <v>0</v>
      </c>
      <c r="I10" s="47">
        <v>0</v>
      </c>
      <c r="J10" s="47">
        <v>0</v>
      </c>
      <c r="K10" s="47">
        <v>17.760000000000002</v>
      </c>
      <c r="L10" s="47">
        <v>0</v>
      </c>
      <c r="M10" s="47">
        <v>0</v>
      </c>
      <c r="N10" s="47">
        <v>0</v>
      </c>
      <c r="O10" s="47">
        <v>0</v>
      </c>
      <c r="P10" s="47">
        <v>0</v>
      </c>
      <c r="Q10" s="47">
        <v>0</v>
      </c>
      <c r="R10" s="47">
        <v>0</v>
      </c>
      <c r="S10" s="47">
        <v>0</v>
      </c>
      <c r="T10" s="47">
        <v>0</v>
      </c>
      <c r="U10" s="52">
        <v>0</v>
      </c>
    </row>
    <row r="11" spans="1:22" x14ac:dyDescent="0.2">
      <c r="A11" s="22" t="s">
        <v>168</v>
      </c>
      <c r="B11" s="51">
        <v>0</v>
      </c>
      <c r="C11" s="47">
        <v>0</v>
      </c>
      <c r="D11" s="47">
        <v>0</v>
      </c>
      <c r="E11" s="47">
        <v>0</v>
      </c>
      <c r="F11" s="47">
        <v>0</v>
      </c>
      <c r="G11" s="52">
        <v>0.01</v>
      </c>
      <c r="H11" s="51">
        <v>0</v>
      </c>
      <c r="I11" s="47">
        <v>0</v>
      </c>
      <c r="J11" s="47">
        <v>0</v>
      </c>
      <c r="K11" s="47">
        <v>0</v>
      </c>
      <c r="L11" s="47">
        <v>0</v>
      </c>
      <c r="M11" s="47">
        <v>0</v>
      </c>
      <c r="N11" s="47">
        <v>0</v>
      </c>
      <c r="O11" s="47">
        <v>0</v>
      </c>
      <c r="P11" s="47">
        <v>0</v>
      </c>
      <c r="Q11" s="47">
        <v>0</v>
      </c>
      <c r="R11" s="47">
        <v>0</v>
      </c>
      <c r="S11" s="47">
        <v>0</v>
      </c>
      <c r="T11" s="47">
        <v>0</v>
      </c>
      <c r="U11" s="52">
        <v>0</v>
      </c>
    </row>
    <row r="12" spans="1:22" x14ac:dyDescent="0.2">
      <c r="A12" s="22" t="s">
        <v>169</v>
      </c>
      <c r="B12" s="51">
        <v>0.01</v>
      </c>
      <c r="C12" s="47">
        <v>0.01</v>
      </c>
      <c r="D12" s="47">
        <v>0</v>
      </c>
      <c r="E12" s="47">
        <v>0</v>
      </c>
      <c r="F12" s="47">
        <v>0.01</v>
      </c>
      <c r="G12" s="52">
        <v>0.01</v>
      </c>
      <c r="H12" s="51">
        <v>0</v>
      </c>
      <c r="I12" s="47">
        <v>0</v>
      </c>
      <c r="J12" s="47">
        <v>0</v>
      </c>
      <c r="K12" s="47">
        <v>0</v>
      </c>
      <c r="L12" s="47">
        <v>0</v>
      </c>
      <c r="M12" s="47">
        <v>0</v>
      </c>
      <c r="N12" s="47">
        <v>0.01</v>
      </c>
      <c r="O12" s="47">
        <v>0.01</v>
      </c>
      <c r="P12" s="47">
        <v>0</v>
      </c>
      <c r="Q12" s="47">
        <v>0</v>
      </c>
      <c r="R12" s="47">
        <v>0</v>
      </c>
      <c r="S12" s="47">
        <v>0</v>
      </c>
      <c r="T12" s="47">
        <v>0</v>
      </c>
      <c r="U12" s="52">
        <v>0</v>
      </c>
    </row>
    <row r="13" spans="1:22" x14ac:dyDescent="0.2">
      <c r="A13" s="13" t="s">
        <v>110</v>
      </c>
      <c r="B13" s="51">
        <v>361.84</v>
      </c>
      <c r="C13" s="47">
        <v>52.28</v>
      </c>
      <c r="D13" s="47">
        <v>295.95999999999998</v>
      </c>
      <c r="E13" s="47">
        <v>16.2</v>
      </c>
      <c r="F13" s="47">
        <v>4.3600000000000003</v>
      </c>
      <c r="G13" s="52">
        <v>0.6</v>
      </c>
      <c r="H13" s="51">
        <v>0</v>
      </c>
      <c r="I13" s="47">
        <v>6.8</v>
      </c>
      <c r="J13" s="47">
        <v>30.6</v>
      </c>
      <c r="K13" s="47">
        <v>24.52</v>
      </c>
      <c r="L13" s="47">
        <v>1.68</v>
      </c>
      <c r="M13" s="47">
        <v>4.32</v>
      </c>
      <c r="N13" s="47">
        <v>0.01</v>
      </c>
      <c r="O13" s="47">
        <v>78.12</v>
      </c>
      <c r="P13" s="47">
        <v>0.48</v>
      </c>
      <c r="Q13" s="47">
        <v>1.68</v>
      </c>
      <c r="R13" s="47">
        <v>0</v>
      </c>
      <c r="S13" s="47">
        <v>77.400000000000006</v>
      </c>
      <c r="T13" s="47">
        <v>7.12</v>
      </c>
      <c r="U13" s="52">
        <v>0.6</v>
      </c>
    </row>
    <row r="14" spans="1:22" x14ac:dyDescent="0.2">
      <c r="A14" s="13" t="s">
        <v>111</v>
      </c>
      <c r="B14" s="51">
        <v>0</v>
      </c>
      <c r="C14" s="47">
        <v>55.2</v>
      </c>
      <c r="D14" s="47">
        <v>1.36</v>
      </c>
      <c r="E14" s="47">
        <v>1.68</v>
      </c>
      <c r="F14" s="47">
        <v>0</v>
      </c>
      <c r="G14" s="52">
        <v>0</v>
      </c>
      <c r="H14" s="51">
        <v>0.56000000000000005</v>
      </c>
      <c r="I14" s="47">
        <v>3.48</v>
      </c>
      <c r="J14" s="47">
        <v>2.36</v>
      </c>
      <c r="K14" s="47">
        <v>169.68</v>
      </c>
      <c r="L14" s="47">
        <v>2.72</v>
      </c>
      <c r="M14" s="47">
        <v>87.36</v>
      </c>
      <c r="N14" s="47">
        <v>666.52</v>
      </c>
      <c r="O14" s="47">
        <v>128.52000000000001</v>
      </c>
      <c r="P14" s="47">
        <v>93.48</v>
      </c>
      <c r="Q14" s="47">
        <v>23.72</v>
      </c>
      <c r="R14" s="47">
        <v>0</v>
      </c>
      <c r="S14" s="47">
        <v>40.840000000000003</v>
      </c>
      <c r="T14" s="47">
        <v>27.6</v>
      </c>
      <c r="U14" s="52">
        <v>1.2</v>
      </c>
    </row>
    <row r="15" spans="1:22" x14ac:dyDescent="0.2">
      <c r="A15" s="13" t="s">
        <v>112</v>
      </c>
      <c r="B15" s="51">
        <v>0</v>
      </c>
      <c r="C15" s="47">
        <v>6.4</v>
      </c>
      <c r="D15" s="47">
        <v>0.64</v>
      </c>
      <c r="E15" s="47">
        <v>1.74</v>
      </c>
      <c r="F15" s="47">
        <v>184.92</v>
      </c>
      <c r="G15" s="52">
        <v>88.74</v>
      </c>
      <c r="H15" s="51">
        <v>0</v>
      </c>
      <c r="I15" s="47">
        <v>0</v>
      </c>
      <c r="J15" s="47">
        <v>6.54</v>
      </c>
      <c r="K15" s="47">
        <v>0</v>
      </c>
      <c r="L15" s="47">
        <v>33.1</v>
      </c>
      <c r="M15" s="47">
        <v>0.8</v>
      </c>
      <c r="N15" s="47">
        <v>0</v>
      </c>
      <c r="O15" s="47">
        <v>34.799999999999997</v>
      </c>
      <c r="P15" s="47">
        <v>0</v>
      </c>
      <c r="Q15" s="47">
        <v>30.7</v>
      </c>
      <c r="R15" s="47">
        <v>0</v>
      </c>
      <c r="S15" s="47">
        <v>16.62</v>
      </c>
      <c r="T15" s="47">
        <v>105.58</v>
      </c>
      <c r="U15" s="52">
        <v>0.36</v>
      </c>
    </row>
    <row r="16" spans="1:22" x14ac:dyDescent="0.2">
      <c r="A16" s="13" t="s">
        <v>114</v>
      </c>
      <c r="B16" s="51">
        <v>0</v>
      </c>
      <c r="C16" s="47">
        <v>6.4</v>
      </c>
      <c r="D16" s="47">
        <v>0.64</v>
      </c>
      <c r="E16" s="47">
        <v>1.74</v>
      </c>
      <c r="F16" s="47">
        <v>184.92</v>
      </c>
      <c r="G16" s="52">
        <v>88.74</v>
      </c>
      <c r="H16" s="51">
        <v>0</v>
      </c>
      <c r="I16" s="47">
        <v>0</v>
      </c>
      <c r="J16" s="47">
        <v>6.54</v>
      </c>
      <c r="K16" s="47">
        <v>0</v>
      </c>
      <c r="L16" s="47">
        <v>33.1</v>
      </c>
      <c r="M16" s="47">
        <v>0.8</v>
      </c>
      <c r="N16" s="47">
        <v>0</v>
      </c>
      <c r="O16" s="47">
        <v>34.799999999999997</v>
      </c>
      <c r="P16" s="47">
        <v>0</v>
      </c>
      <c r="Q16" s="47">
        <v>30.7</v>
      </c>
      <c r="R16" s="47">
        <v>0</v>
      </c>
      <c r="S16" s="47">
        <v>16.62</v>
      </c>
      <c r="T16" s="47">
        <v>105.58</v>
      </c>
      <c r="U16" s="52">
        <v>0.36</v>
      </c>
    </row>
    <row r="17" spans="1:21" x14ac:dyDescent="0.2">
      <c r="A17" s="22" t="s">
        <v>84</v>
      </c>
      <c r="B17" s="51">
        <v>0</v>
      </c>
      <c r="C17" s="47">
        <v>0</v>
      </c>
      <c r="D17" s="47">
        <v>0.01</v>
      </c>
      <c r="E17" s="47">
        <v>0</v>
      </c>
      <c r="F17" s="47">
        <v>0</v>
      </c>
      <c r="G17" s="52">
        <v>0</v>
      </c>
      <c r="H17" s="51">
        <v>0.01</v>
      </c>
      <c r="I17" s="47">
        <v>0</v>
      </c>
      <c r="J17" s="47">
        <v>0.01</v>
      </c>
      <c r="K17" s="47">
        <v>0.01</v>
      </c>
      <c r="L17" s="47">
        <v>0</v>
      </c>
      <c r="M17" s="47">
        <v>0.01</v>
      </c>
      <c r="N17" s="47">
        <v>0</v>
      </c>
      <c r="O17" s="47">
        <v>0</v>
      </c>
      <c r="P17" s="47">
        <v>0</v>
      </c>
      <c r="Q17" s="47">
        <v>0</v>
      </c>
      <c r="R17" s="47">
        <v>0</v>
      </c>
      <c r="S17" s="47">
        <v>0</v>
      </c>
      <c r="T17" s="47">
        <v>0</v>
      </c>
      <c r="U17" s="52">
        <v>0</v>
      </c>
    </row>
    <row r="18" spans="1:21" x14ac:dyDescent="0.2">
      <c r="A18" s="13" t="s">
        <v>117</v>
      </c>
      <c r="B18" s="51">
        <v>0.01</v>
      </c>
      <c r="C18" s="47">
        <v>0</v>
      </c>
      <c r="D18" s="47">
        <v>0.32</v>
      </c>
      <c r="E18" s="47">
        <v>0</v>
      </c>
      <c r="F18" s="47">
        <v>0.01</v>
      </c>
      <c r="G18" s="52">
        <v>9.24</v>
      </c>
      <c r="H18" s="51">
        <v>0</v>
      </c>
      <c r="I18" s="47">
        <v>0</v>
      </c>
      <c r="J18" s="47">
        <v>0</v>
      </c>
      <c r="K18" s="47">
        <v>0</v>
      </c>
      <c r="L18" s="47">
        <v>0</v>
      </c>
      <c r="M18" s="47">
        <v>1.4</v>
      </c>
      <c r="N18" s="47">
        <v>0</v>
      </c>
      <c r="O18" s="47">
        <v>0</v>
      </c>
      <c r="P18" s="47">
        <v>0</v>
      </c>
      <c r="Q18" s="47">
        <v>0</v>
      </c>
      <c r="R18" s="47">
        <v>0</v>
      </c>
      <c r="S18" s="47">
        <v>0</v>
      </c>
      <c r="T18" s="47">
        <v>0</v>
      </c>
      <c r="U18" s="52">
        <v>0</v>
      </c>
    </row>
    <row r="19" spans="1:21" x14ac:dyDescent="0.2">
      <c r="A19" s="13" t="s">
        <v>130</v>
      </c>
      <c r="B19" s="51">
        <v>0.01</v>
      </c>
      <c r="C19" s="47">
        <v>0</v>
      </c>
      <c r="D19" s="47">
        <v>0</v>
      </c>
      <c r="E19" s="47">
        <v>0</v>
      </c>
      <c r="F19" s="47">
        <v>0</v>
      </c>
      <c r="G19" s="52">
        <v>0</v>
      </c>
      <c r="H19" s="51">
        <v>0</v>
      </c>
      <c r="I19" s="47">
        <v>0</v>
      </c>
      <c r="J19" s="47">
        <v>0</v>
      </c>
      <c r="K19" s="47">
        <v>0</v>
      </c>
      <c r="L19" s="47">
        <v>0</v>
      </c>
      <c r="M19" s="47">
        <v>0</v>
      </c>
      <c r="N19" s="47">
        <v>0</v>
      </c>
      <c r="O19" s="47">
        <v>0</v>
      </c>
      <c r="P19" s="47">
        <v>0</v>
      </c>
      <c r="Q19" s="47">
        <v>0</v>
      </c>
      <c r="R19" s="47">
        <v>0</v>
      </c>
      <c r="S19" s="47">
        <v>0</v>
      </c>
      <c r="T19" s="47">
        <v>0</v>
      </c>
      <c r="U19" s="52">
        <v>0</v>
      </c>
    </row>
    <row r="20" spans="1:21" x14ac:dyDescent="0.2">
      <c r="A20" s="13" t="s">
        <v>119</v>
      </c>
      <c r="B20" s="51">
        <v>0.01</v>
      </c>
      <c r="C20" s="47">
        <v>0</v>
      </c>
      <c r="D20" s="47">
        <v>0</v>
      </c>
      <c r="E20" s="47">
        <v>0</v>
      </c>
      <c r="F20" s="47">
        <v>0.01</v>
      </c>
      <c r="G20" s="52">
        <v>0.01</v>
      </c>
      <c r="H20" s="51">
        <v>0</v>
      </c>
      <c r="I20" s="47">
        <v>0</v>
      </c>
      <c r="J20" s="47">
        <v>0</v>
      </c>
      <c r="K20" s="47">
        <v>0</v>
      </c>
      <c r="L20" s="47">
        <v>0</v>
      </c>
      <c r="M20" s="47">
        <v>0</v>
      </c>
      <c r="N20" s="47">
        <v>0</v>
      </c>
      <c r="O20" s="47">
        <v>0</v>
      </c>
      <c r="P20" s="47">
        <v>0</v>
      </c>
      <c r="Q20" s="47">
        <v>0</v>
      </c>
      <c r="R20" s="47">
        <v>0</v>
      </c>
      <c r="S20" s="47">
        <v>0</v>
      </c>
      <c r="T20" s="47">
        <v>0</v>
      </c>
      <c r="U20" s="52">
        <v>0</v>
      </c>
    </row>
    <row r="21" spans="1:21" x14ac:dyDescent="0.2">
      <c r="A21" s="13" t="s">
        <v>121</v>
      </c>
      <c r="B21" s="51">
        <v>0</v>
      </c>
      <c r="C21" s="47">
        <v>0.01</v>
      </c>
      <c r="D21" s="47">
        <v>0</v>
      </c>
      <c r="E21" s="47">
        <v>0</v>
      </c>
      <c r="F21" s="47">
        <v>0</v>
      </c>
      <c r="G21" s="52">
        <v>0</v>
      </c>
      <c r="H21" s="51">
        <v>0</v>
      </c>
      <c r="I21" s="47">
        <v>0</v>
      </c>
      <c r="J21" s="47">
        <v>0</v>
      </c>
      <c r="K21" s="47">
        <v>0</v>
      </c>
      <c r="L21" s="47">
        <v>0</v>
      </c>
      <c r="M21" s="47">
        <v>0</v>
      </c>
      <c r="N21" s="47">
        <v>0.01</v>
      </c>
      <c r="O21" s="47">
        <v>14.88</v>
      </c>
      <c r="P21" s="47">
        <v>0</v>
      </c>
      <c r="Q21" s="47">
        <v>0</v>
      </c>
      <c r="R21" s="47">
        <v>0</v>
      </c>
      <c r="S21" s="47">
        <v>0</v>
      </c>
      <c r="T21" s="47">
        <v>0</v>
      </c>
      <c r="U21" s="52">
        <v>0</v>
      </c>
    </row>
    <row r="22" spans="1:21" x14ac:dyDescent="0.2">
      <c r="A22" s="13" t="s">
        <v>122</v>
      </c>
      <c r="B22" s="51">
        <v>4.96</v>
      </c>
      <c r="C22" s="47">
        <v>0.01</v>
      </c>
      <c r="D22" s="47">
        <v>16.96</v>
      </c>
      <c r="E22" s="47">
        <v>0.24</v>
      </c>
      <c r="F22" s="47">
        <v>0</v>
      </c>
      <c r="G22" s="52">
        <v>0</v>
      </c>
      <c r="H22" s="51">
        <v>0</v>
      </c>
      <c r="I22" s="47">
        <v>0</v>
      </c>
      <c r="J22" s="47">
        <v>0</v>
      </c>
      <c r="K22" s="47">
        <v>0</v>
      </c>
      <c r="L22" s="47">
        <v>0</v>
      </c>
      <c r="M22" s="47">
        <v>0</v>
      </c>
      <c r="N22" s="47">
        <v>0</v>
      </c>
      <c r="O22" s="47">
        <v>0</v>
      </c>
      <c r="P22" s="47">
        <v>0</v>
      </c>
      <c r="Q22" s="47">
        <v>0</v>
      </c>
      <c r="R22" s="47">
        <v>0</v>
      </c>
      <c r="S22" s="47">
        <v>0</v>
      </c>
      <c r="T22" s="47">
        <v>0.48</v>
      </c>
      <c r="U22" s="52">
        <v>0</v>
      </c>
    </row>
    <row r="23" spans="1:21" x14ac:dyDescent="0.2">
      <c r="A23" s="13" t="s">
        <v>144</v>
      </c>
      <c r="B23" s="51">
        <v>19.12</v>
      </c>
      <c r="C23" s="47">
        <v>0</v>
      </c>
      <c r="D23" s="47">
        <v>15.98</v>
      </c>
      <c r="E23" s="47">
        <v>0</v>
      </c>
      <c r="F23" s="47">
        <v>30.96</v>
      </c>
      <c r="G23" s="52">
        <v>15.1</v>
      </c>
      <c r="H23" s="51">
        <v>1.08</v>
      </c>
      <c r="I23" s="47">
        <v>2.86</v>
      </c>
      <c r="J23" s="47">
        <v>65.12</v>
      </c>
      <c r="K23" s="47">
        <v>8.98</v>
      </c>
      <c r="L23" s="47">
        <v>4.0199999999999996</v>
      </c>
      <c r="M23" s="47">
        <v>12.12</v>
      </c>
      <c r="N23" s="47">
        <v>7.32</v>
      </c>
      <c r="O23" s="47">
        <v>50.52</v>
      </c>
      <c r="P23" s="47">
        <v>0</v>
      </c>
      <c r="Q23" s="47">
        <v>3.74</v>
      </c>
      <c r="R23" s="47">
        <v>0</v>
      </c>
      <c r="S23" s="47">
        <v>255.56</v>
      </c>
      <c r="T23" s="47">
        <v>178.24</v>
      </c>
      <c r="U23" s="52">
        <v>134.5</v>
      </c>
    </row>
    <row r="24" spans="1:21" x14ac:dyDescent="0.2">
      <c r="A24" s="13" t="s">
        <v>123</v>
      </c>
      <c r="B24" s="51">
        <v>0.01</v>
      </c>
      <c r="C24" s="47">
        <v>284.24</v>
      </c>
      <c r="D24" s="47">
        <v>0</v>
      </c>
      <c r="E24" s="47">
        <v>419.8</v>
      </c>
      <c r="F24" s="47">
        <v>10.64</v>
      </c>
      <c r="G24" s="52">
        <v>0.01</v>
      </c>
      <c r="H24" s="51">
        <v>106.32</v>
      </c>
      <c r="I24" s="47">
        <v>29.96</v>
      </c>
      <c r="J24" s="47">
        <v>77.959999999999994</v>
      </c>
      <c r="K24" s="47">
        <v>648.55999999999995</v>
      </c>
      <c r="L24" s="47">
        <v>237.04</v>
      </c>
      <c r="M24" s="47">
        <v>132.16</v>
      </c>
      <c r="N24" s="47">
        <v>218.96</v>
      </c>
      <c r="O24" s="47">
        <v>349.56</v>
      </c>
      <c r="P24" s="47">
        <v>518.24</v>
      </c>
      <c r="Q24" s="47">
        <v>159.80000000000001</v>
      </c>
      <c r="R24" s="47">
        <v>0</v>
      </c>
      <c r="S24" s="47">
        <v>29.4</v>
      </c>
      <c r="T24" s="47">
        <v>2.92</v>
      </c>
      <c r="U24" s="52">
        <v>0</v>
      </c>
    </row>
    <row r="25" spans="1:21" x14ac:dyDescent="0.2">
      <c r="A25" s="4" t="s">
        <v>80</v>
      </c>
      <c r="B25" s="51">
        <v>202.52</v>
      </c>
      <c r="C25" s="47">
        <v>0</v>
      </c>
      <c r="D25" s="47">
        <v>0.6</v>
      </c>
      <c r="E25" s="47">
        <v>0</v>
      </c>
      <c r="F25" s="47">
        <v>0.01</v>
      </c>
      <c r="G25" s="52">
        <v>0</v>
      </c>
      <c r="H25" s="51">
        <v>1.32</v>
      </c>
      <c r="I25" s="47">
        <v>0</v>
      </c>
      <c r="J25" s="47">
        <v>3.44</v>
      </c>
      <c r="K25" s="47">
        <v>0</v>
      </c>
      <c r="L25" s="47">
        <v>0.01</v>
      </c>
      <c r="M25" s="47">
        <v>0</v>
      </c>
      <c r="N25" s="47">
        <v>15.4</v>
      </c>
      <c r="O25" s="47">
        <v>43.64</v>
      </c>
      <c r="P25" s="47">
        <v>3.44</v>
      </c>
      <c r="Q25" s="47">
        <v>2.64</v>
      </c>
      <c r="R25" s="47">
        <v>0</v>
      </c>
      <c r="S25" s="47">
        <v>7.76</v>
      </c>
      <c r="T25" s="47">
        <v>0</v>
      </c>
      <c r="U25" s="52">
        <v>0</v>
      </c>
    </row>
    <row r="26" spans="1:21" x14ac:dyDescent="0.2">
      <c r="A26" s="13" t="s">
        <v>140</v>
      </c>
      <c r="B26" s="51">
        <v>0.01</v>
      </c>
      <c r="C26" s="47">
        <v>0</v>
      </c>
      <c r="D26" s="47">
        <v>0</v>
      </c>
      <c r="E26" s="47">
        <v>0</v>
      </c>
      <c r="F26" s="47">
        <v>0</v>
      </c>
      <c r="G26" s="52">
        <v>0</v>
      </c>
      <c r="H26" s="51">
        <v>0</v>
      </c>
      <c r="I26" s="47">
        <v>0</v>
      </c>
      <c r="J26" s="47">
        <v>0</v>
      </c>
      <c r="K26" s="47">
        <v>0</v>
      </c>
      <c r="L26" s="47">
        <v>0</v>
      </c>
      <c r="M26" s="47">
        <v>0</v>
      </c>
      <c r="N26" s="47">
        <v>0</v>
      </c>
      <c r="O26" s="47">
        <v>0</v>
      </c>
      <c r="P26" s="47">
        <v>0</v>
      </c>
      <c r="Q26" s="47">
        <v>0</v>
      </c>
      <c r="R26" s="47">
        <v>0</v>
      </c>
      <c r="S26" s="47">
        <v>0</v>
      </c>
      <c r="T26" s="47">
        <v>0</v>
      </c>
      <c r="U26" s="52">
        <v>0</v>
      </c>
    </row>
    <row r="27" spans="1:21" x14ac:dyDescent="0.2">
      <c r="A27" s="13" t="s">
        <v>76</v>
      </c>
      <c r="B27" s="51">
        <v>0</v>
      </c>
      <c r="C27" s="47">
        <v>0</v>
      </c>
      <c r="D27" s="47">
        <v>0.01</v>
      </c>
      <c r="E27" s="47">
        <v>0</v>
      </c>
      <c r="F27" s="47">
        <v>486.8</v>
      </c>
      <c r="G27" s="52">
        <v>534.79999999999995</v>
      </c>
      <c r="H27" s="51">
        <v>0</v>
      </c>
      <c r="I27" s="47">
        <v>0</v>
      </c>
      <c r="J27" s="47">
        <v>171.64</v>
      </c>
      <c r="K27" s="47">
        <v>0</v>
      </c>
      <c r="L27" s="47">
        <v>0.01</v>
      </c>
      <c r="M27" s="47">
        <v>0</v>
      </c>
      <c r="N27" s="47">
        <v>0</v>
      </c>
      <c r="O27" s="47">
        <v>0</v>
      </c>
      <c r="P27" s="47">
        <v>0</v>
      </c>
      <c r="Q27" s="47">
        <v>0</v>
      </c>
      <c r="R27" s="47">
        <v>0</v>
      </c>
      <c r="S27" s="47">
        <v>0</v>
      </c>
      <c r="T27" s="47">
        <v>0</v>
      </c>
      <c r="U27" s="52">
        <v>0</v>
      </c>
    </row>
    <row r="28" spans="1:21" x14ac:dyDescent="0.2">
      <c r="A28" s="22" t="s">
        <v>166</v>
      </c>
      <c r="B28" s="53">
        <v>0.01</v>
      </c>
      <c r="C28" s="54">
        <v>0.01</v>
      </c>
      <c r="D28" s="54">
        <v>0</v>
      </c>
      <c r="E28" s="54">
        <v>0</v>
      </c>
      <c r="F28" s="54">
        <v>0</v>
      </c>
      <c r="G28" s="55">
        <v>0</v>
      </c>
      <c r="H28" s="53">
        <v>0</v>
      </c>
      <c r="I28" s="54">
        <v>0</v>
      </c>
      <c r="J28" s="54">
        <v>0</v>
      </c>
      <c r="K28" s="54">
        <v>0</v>
      </c>
      <c r="L28" s="54">
        <v>0</v>
      </c>
      <c r="M28" s="54">
        <v>0</v>
      </c>
      <c r="N28" s="54">
        <v>0</v>
      </c>
      <c r="O28" s="54">
        <v>0.01</v>
      </c>
      <c r="P28" s="54">
        <v>0</v>
      </c>
      <c r="Q28" s="54">
        <v>0</v>
      </c>
      <c r="R28" s="54">
        <v>0</v>
      </c>
      <c r="S28" s="54">
        <v>0</v>
      </c>
      <c r="T28" s="54">
        <v>0</v>
      </c>
      <c r="U28" s="55">
        <v>0</v>
      </c>
    </row>
  </sheetData>
  <sortState xmlns:xlrd2="http://schemas.microsoft.com/office/spreadsheetml/2017/richdata2" ref="A3:U28">
    <sortCondition ref="A3:A28"/>
  </sortState>
  <mergeCells count="2">
    <mergeCell ref="B1:G1"/>
    <mergeCell ref="H1:U1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A26"/>
  <sheetViews>
    <sheetView workbookViewId="0"/>
  </sheetViews>
  <sheetFormatPr baseColWidth="10" defaultColWidth="8.83203125" defaultRowHeight="18" x14ac:dyDescent="0.2"/>
  <cols>
    <col min="1" max="1" width="80.6640625" style="45" customWidth="1"/>
    <col min="2" max="21" width="9.83203125" style="45" customWidth="1"/>
    <col min="22" max="22" width="8.6640625" style="45" customWidth="1"/>
    <col min="23" max="23" width="7.33203125" style="45" customWidth="1"/>
    <col min="24" max="24" width="7.6640625" style="45" customWidth="1"/>
    <col min="25" max="25" width="9.33203125" style="45" customWidth="1"/>
    <col min="26" max="26" width="8.33203125" style="45" customWidth="1"/>
    <col min="27" max="28" width="8.5" style="45" customWidth="1"/>
    <col min="29" max="33" width="9.1640625" style="45" customWidth="1"/>
    <col min="34" max="16384" width="8.83203125" style="45"/>
  </cols>
  <sheetData>
    <row r="1" spans="1:27" x14ac:dyDescent="0.2">
      <c r="B1" s="90" t="s">
        <v>26</v>
      </c>
      <c r="C1" s="91"/>
      <c r="D1" s="91"/>
      <c r="E1" s="91"/>
      <c r="F1" s="91"/>
      <c r="G1" s="92"/>
      <c r="H1" s="90" t="s">
        <v>27</v>
      </c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2"/>
      <c r="V1" s="46"/>
      <c r="W1" s="46"/>
      <c r="X1" s="46"/>
      <c r="Y1" s="46"/>
      <c r="Z1" s="46"/>
      <c r="AA1" s="46"/>
    </row>
    <row r="2" spans="1:27" x14ac:dyDescent="0.2">
      <c r="A2" s="17" t="s">
        <v>100</v>
      </c>
      <c r="B2" s="48" t="s">
        <v>1</v>
      </c>
      <c r="C2" s="49" t="s">
        <v>2</v>
      </c>
      <c r="D2" s="49" t="s">
        <v>3</v>
      </c>
      <c r="E2" s="49" t="s">
        <v>4</v>
      </c>
      <c r="F2" s="49" t="s">
        <v>5</v>
      </c>
      <c r="G2" s="50" t="s">
        <v>6</v>
      </c>
      <c r="H2" s="48" t="s">
        <v>7</v>
      </c>
      <c r="I2" s="49" t="s">
        <v>8</v>
      </c>
      <c r="J2" s="49" t="s">
        <v>9</v>
      </c>
      <c r="K2" s="49" t="s">
        <v>10</v>
      </c>
      <c r="L2" s="49" t="s">
        <v>11</v>
      </c>
      <c r="M2" s="49" t="s">
        <v>12</v>
      </c>
      <c r="N2" s="49" t="s">
        <v>13</v>
      </c>
      <c r="O2" s="49" t="s">
        <v>14</v>
      </c>
      <c r="P2" s="49" t="s">
        <v>15</v>
      </c>
      <c r="Q2" s="49" t="s">
        <v>16</v>
      </c>
      <c r="R2" s="49" t="s">
        <v>17</v>
      </c>
      <c r="S2" s="49" t="s">
        <v>18</v>
      </c>
      <c r="T2" s="49" t="s">
        <v>19</v>
      </c>
      <c r="U2" s="50" t="s">
        <v>20</v>
      </c>
    </row>
    <row r="3" spans="1:27" x14ac:dyDescent="0.2">
      <c r="A3" s="13" t="s">
        <v>101</v>
      </c>
      <c r="B3" s="51">
        <v>1.6</v>
      </c>
      <c r="C3" s="47">
        <v>1.4</v>
      </c>
      <c r="D3" s="47">
        <v>0.8</v>
      </c>
      <c r="E3" s="47">
        <v>0</v>
      </c>
      <c r="F3" s="47">
        <v>0</v>
      </c>
      <c r="G3" s="52">
        <v>0</v>
      </c>
      <c r="H3" s="51">
        <v>39.44</v>
      </c>
      <c r="I3" s="47">
        <v>11.52</v>
      </c>
      <c r="J3" s="47">
        <v>0</v>
      </c>
      <c r="K3" s="47">
        <v>0</v>
      </c>
      <c r="L3" s="47">
        <v>0</v>
      </c>
      <c r="M3" s="47">
        <v>0</v>
      </c>
      <c r="N3" s="47">
        <v>0</v>
      </c>
      <c r="O3" s="47">
        <v>0</v>
      </c>
      <c r="P3" s="47">
        <v>0</v>
      </c>
      <c r="Q3" s="47">
        <v>0</v>
      </c>
      <c r="R3" s="47">
        <v>0</v>
      </c>
      <c r="S3" s="47">
        <v>0</v>
      </c>
      <c r="T3" s="47">
        <v>0</v>
      </c>
      <c r="U3" s="52">
        <v>0</v>
      </c>
    </row>
    <row r="4" spans="1:27" x14ac:dyDescent="0.2">
      <c r="A4" s="13" t="s">
        <v>163</v>
      </c>
      <c r="B4" s="51">
        <v>8.82</v>
      </c>
      <c r="C4" s="47">
        <v>0</v>
      </c>
      <c r="D4" s="47">
        <v>14.88</v>
      </c>
      <c r="E4" s="47">
        <v>0</v>
      </c>
      <c r="F4" s="47">
        <v>0</v>
      </c>
      <c r="G4" s="52">
        <v>73.14</v>
      </c>
      <c r="H4" s="51">
        <v>1.3</v>
      </c>
      <c r="I4" s="47">
        <v>0.7</v>
      </c>
      <c r="J4" s="47">
        <v>18.899999999999999</v>
      </c>
      <c r="K4" s="47">
        <v>13.76</v>
      </c>
      <c r="L4" s="47">
        <v>0.3</v>
      </c>
      <c r="M4" s="47">
        <v>0.14000000000000001</v>
      </c>
      <c r="N4" s="47">
        <v>2.4</v>
      </c>
      <c r="O4" s="47">
        <v>0.22</v>
      </c>
      <c r="P4" s="47">
        <v>47.24</v>
      </c>
      <c r="Q4" s="47">
        <v>0</v>
      </c>
      <c r="R4" s="47">
        <v>0</v>
      </c>
      <c r="S4" s="47">
        <v>341.8</v>
      </c>
      <c r="T4" s="47">
        <v>67.16</v>
      </c>
      <c r="U4" s="52">
        <v>83.4</v>
      </c>
    </row>
    <row r="5" spans="1:27" x14ac:dyDescent="0.2">
      <c r="A5" s="13" t="s">
        <v>103</v>
      </c>
      <c r="B5" s="51">
        <v>0</v>
      </c>
      <c r="C5" s="47">
        <v>0</v>
      </c>
      <c r="D5" s="47">
        <v>305.24</v>
      </c>
      <c r="E5" s="47">
        <v>0</v>
      </c>
      <c r="F5" s="47">
        <v>0</v>
      </c>
      <c r="G5" s="52">
        <v>0</v>
      </c>
      <c r="H5" s="51">
        <v>304.27999999999997</v>
      </c>
      <c r="I5" s="47">
        <v>236.6</v>
      </c>
      <c r="J5" s="47">
        <v>0.44</v>
      </c>
      <c r="K5" s="47">
        <v>229.04</v>
      </c>
      <c r="L5" s="47">
        <v>68.92</v>
      </c>
      <c r="M5" s="47">
        <v>94.48</v>
      </c>
      <c r="N5" s="47">
        <v>0.92</v>
      </c>
      <c r="O5" s="47">
        <v>33.840000000000003</v>
      </c>
      <c r="P5" s="47">
        <v>31.32</v>
      </c>
      <c r="Q5" s="47">
        <v>181.76</v>
      </c>
      <c r="R5" s="47">
        <v>0</v>
      </c>
      <c r="S5" s="47">
        <v>1.92</v>
      </c>
      <c r="T5" s="47">
        <v>13.48</v>
      </c>
      <c r="U5" s="52">
        <v>1.72</v>
      </c>
    </row>
    <row r="6" spans="1:27" x14ac:dyDescent="0.2">
      <c r="A6" s="13" t="s">
        <v>104</v>
      </c>
      <c r="B6" s="51">
        <v>0</v>
      </c>
      <c r="C6" s="47">
        <v>0</v>
      </c>
      <c r="D6" s="47">
        <v>0</v>
      </c>
      <c r="E6" s="47">
        <v>0</v>
      </c>
      <c r="F6" s="47">
        <v>0</v>
      </c>
      <c r="G6" s="52">
        <v>0</v>
      </c>
      <c r="H6" s="51">
        <v>0</v>
      </c>
      <c r="I6" s="47">
        <v>0</v>
      </c>
      <c r="J6" s="47">
        <v>9.24</v>
      </c>
      <c r="K6" s="47">
        <v>0</v>
      </c>
      <c r="L6" s="47">
        <v>0</v>
      </c>
      <c r="M6" s="47">
        <v>0.01</v>
      </c>
      <c r="N6" s="47">
        <v>0</v>
      </c>
      <c r="O6" s="47">
        <v>0</v>
      </c>
      <c r="P6" s="47">
        <v>0.01</v>
      </c>
      <c r="Q6" s="47">
        <v>0</v>
      </c>
      <c r="R6" s="47">
        <v>0</v>
      </c>
      <c r="S6" s="47">
        <v>0</v>
      </c>
      <c r="T6" s="47">
        <v>0</v>
      </c>
      <c r="U6" s="52">
        <v>0</v>
      </c>
    </row>
    <row r="7" spans="1:27" x14ac:dyDescent="0.2">
      <c r="A7" s="13" t="s">
        <v>36</v>
      </c>
      <c r="B7" s="51">
        <v>0</v>
      </c>
      <c r="C7" s="47">
        <v>0.01</v>
      </c>
      <c r="D7" s="47">
        <v>0</v>
      </c>
      <c r="E7" s="47">
        <v>0</v>
      </c>
      <c r="F7" s="47">
        <v>0</v>
      </c>
      <c r="G7" s="52">
        <v>0</v>
      </c>
      <c r="H7" s="51">
        <v>0</v>
      </c>
      <c r="I7" s="47">
        <v>0</v>
      </c>
      <c r="J7" s="47">
        <v>0</v>
      </c>
      <c r="K7" s="47">
        <v>0</v>
      </c>
      <c r="L7" s="47">
        <v>0</v>
      </c>
      <c r="M7" s="47">
        <v>0</v>
      </c>
      <c r="N7" s="47">
        <v>0</v>
      </c>
      <c r="O7" s="47">
        <v>0</v>
      </c>
      <c r="P7" s="47">
        <v>0</v>
      </c>
      <c r="Q7" s="47">
        <v>0</v>
      </c>
      <c r="R7" s="47">
        <v>0</v>
      </c>
      <c r="S7" s="47">
        <v>0</v>
      </c>
      <c r="T7" s="47">
        <v>0</v>
      </c>
      <c r="U7" s="52">
        <v>0</v>
      </c>
    </row>
    <row r="8" spans="1:27" x14ac:dyDescent="0.2">
      <c r="A8" s="13" t="s">
        <v>106</v>
      </c>
      <c r="B8" s="51">
        <v>2.4</v>
      </c>
      <c r="C8" s="47">
        <v>196.4</v>
      </c>
      <c r="D8" s="47">
        <v>0</v>
      </c>
      <c r="E8" s="47">
        <v>285</v>
      </c>
      <c r="F8" s="47">
        <v>0</v>
      </c>
      <c r="G8" s="52">
        <v>0</v>
      </c>
      <c r="H8" s="51">
        <v>0</v>
      </c>
      <c r="I8" s="47">
        <v>0</v>
      </c>
      <c r="J8" s="47">
        <v>182.88</v>
      </c>
      <c r="K8" s="47">
        <v>2.6</v>
      </c>
      <c r="L8" s="47">
        <v>0</v>
      </c>
      <c r="M8" s="47">
        <v>0</v>
      </c>
      <c r="N8" s="47">
        <v>418.48</v>
      </c>
      <c r="O8" s="47">
        <v>677.36</v>
      </c>
      <c r="P8" s="47">
        <v>0</v>
      </c>
      <c r="Q8" s="47">
        <v>0</v>
      </c>
      <c r="R8" s="47">
        <v>0</v>
      </c>
      <c r="S8" s="47">
        <v>0</v>
      </c>
      <c r="T8" s="47">
        <v>0</v>
      </c>
      <c r="U8" s="52">
        <v>0</v>
      </c>
    </row>
    <row r="9" spans="1:27" x14ac:dyDescent="0.2">
      <c r="A9" s="13" t="s">
        <v>107</v>
      </c>
      <c r="B9" s="51">
        <v>0</v>
      </c>
      <c r="C9" s="47">
        <v>0</v>
      </c>
      <c r="D9" s="47">
        <v>0.01</v>
      </c>
      <c r="E9" s="47">
        <v>0</v>
      </c>
      <c r="F9" s="47">
        <v>0</v>
      </c>
      <c r="G9" s="52">
        <v>4</v>
      </c>
      <c r="H9" s="51">
        <v>0</v>
      </c>
      <c r="I9" s="47">
        <v>0</v>
      </c>
      <c r="J9" s="47">
        <v>0</v>
      </c>
      <c r="K9" s="47">
        <v>0</v>
      </c>
      <c r="L9" s="47">
        <v>0</v>
      </c>
      <c r="M9" s="47">
        <v>0</v>
      </c>
      <c r="N9" s="47">
        <v>0</v>
      </c>
      <c r="O9" s="47">
        <v>0</v>
      </c>
      <c r="P9" s="47">
        <v>0</v>
      </c>
      <c r="Q9" s="47">
        <v>0</v>
      </c>
      <c r="R9" s="47">
        <v>0</v>
      </c>
      <c r="S9" s="47">
        <v>0</v>
      </c>
      <c r="T9" s="47">
        <v>0</v>
      </c>
      <c r="U9" s="52">
        <v>0</v>
      </c>
    </row>
    <row r="10" spans="1:27" x14ac:dyDescent="0.2">
      <c r="A10" s="13" t="s">
        <v>171</v>
      </c>
      <c r="B10" s="51">
        <v>0</v>
      </c>
      <c r="C10" s="47">
        <v>0</v>
      </c>
      <c r="D10" s="47">
        <v>0</v>
      </c>
      <c r="E10" s="47">
        <v>0</v>
      </c>
      <c r="F10" s="47">
        <v>0</v>
      </c>
      <c r="G10" s="52">
        <v>0</v>
      </c>
      <c r="H10" s="51">
        <v>0</v>
      </c>
      <c r="I10" s="47">
        <v>0</v>
      </c>
      <c r="J10" s="47">
        <v>0</v>
      </c>
      <c r="K10" s="47">
        <v>0</v>
      </c>
      <c r="L10" s="47">
        <v>0</v>
      </c>
      <c r="M10" s="47">
        <v>0</v>
      </c>
      <c r="N10" s="47">
        <v>0</v>
      </c>
      <c r="O10" s="47">
        <v>0</v>
      </c>
      <c r="P10" s="47">
        <v>0</v>
      </c>
      <c r="Q10" s="47">
        <v>0</v>
      </c>
      <c r="R10" s="47">
        <v>0</v>
      </c>
      <c r="S10" s="47">
        <v>0.01</v>
      </c>
      <c r="T10" s="47">
        <v>0</v>
      </c>
      <c r="U10" s="52">
        <v>0</v>
      </c>
    </row>
    <row r="11" spans="1:27" x14ac:dyDescent="0.2">
      <c r="A11" s="13" t="s">
        <v>110</v>
      </c>
      <c r="B11" s="51">
        <v>319.72000000000003</v>
      </c>
      <c r="C11" s="47">
        <v>402.48</v>
      </c>
      <c r="D11" s="47">
        <v>286.72000000000003</v>
      </c>
      <c r="E11" s="47">
        <v>0</v>
      </c>
      <c r="F11" s="47">
        <v>0</v>
      </c>
      <c r="G11" s="52">
        <v>300.32</v>
      </c>
      <c r="H11" s="51">
        <v>1.48</v>
      </c>
      <c r="I11" s="47">
        <v>0.8</v>
      </c>
      <c r="J11" s="47">
        <v>6.52</v>
      </c>
      <c r="K11" s="47">
        <v>56</v>
      </c>
      <c r="L11" s="47">
        <v>0.48</v>
      </c>
      <c r="M11" s="47">
        <v>0.01</v>
      </c>
      <c r="N11" s="47">
        <v>10</v>
      </c>
      <c r="O11" s="47">
        <v>79.48</v>
      </c>
      <c r="P11" s="47">
        <v>21.04</v>
      </c>
      <c r="Q11" s="47">
        <v>0</v>
      </c>
      <c r="R11" s="47">
        <v>0</v>
      </c>
      <c r="S11" s="47">
        <v>6.52</v>
      </c>
      <c r="T11" s="47">
        <v>3.12</v>
      </c>
      <c r="U11" s="52">
        <v>2.2799999999999998</v>
      </c>
    </row>
    <row r="12" spans="1:27" x14ac:dyDescent="0.2">
      <c r="A12" s="13" t="s">
        <v>111</v>
      </c>
      <c r="B12" s="51">
        <v>0</v>
      </c>
      <c r="C12" s="47">
        <v>0</v>
      </c>
      <c r="D12" s="47">
        <v>4.4000000000000004</v>
      </c>
      <c r="E12" s="47">
        <v>0</v>
      </c>
      <c r="F12" s="47">
        <v>0</v>
      </c>
      <c r="G12" s="52">
        <v>0</v>
      </c>
      <c r="H12" s="51">
        <v>3</v>
      </c>
      <c r="I12" s="47">
        <v>1.8</v>
      </c>
      <c r="J12" s="47">
        <v>0</v>
      </c>
      <c r="K12" s="47">
        <v>0</v>
      </c>
      <c r="L12" s="47">
        <v>1.8</v>
      </c>
      <c r="M12" s="47">
        <v>0</v>
      </c>
      <c r="N12" s="47">
        <v>0</v>
      </c>
      <c r="O12" s="47">
        <v>0</v>
      </c>
      <c r="P12" s="47">
        <v>0</v>
      </c>
      <c r="Q12" s="47">
        <v>0</v>
      </c>
      <c r="R12" s="47">
        <v>0</v>
      </c>
      <c r="S12" s="47">
        <v>0</v>
      </c>
      <c r="T12" s="47">
        <v>10.68</v>
      </c>
      <c r="U12" s="52">
        <v>3.6</v>
      </c>
    </row>
    <row r="13" spans="1:27" x14ac:dyDescent="0.2">
      <c r="A13" s="13" t="s">
        <v>112</v>
      </c>
      <c r="B13" s="51">
        <v>0</v>
      </c>
      <c r="C13" s="47">
        <v>0</v>
      </c>
      <c r="D13" s="47">
        <v>2.86</v>
      </c>
      <c r="E13" s="47">
        <v>0</v>
      </c>
      <c r="F13" s="47">
        <v>196.26</v>
      </c>
      <c r="G13" s="52">
        <v>2.88</v>
      </c>
      <c r="H13" s="51">
        <v>2.4</v>
      </c>
      <c r="I13" s="47">
        <v>1.1200000000000001</v>
      </c>
      <c r="J13" s="47">
        <v>1.1599999999999999</v>
      </c>
      <c r="K13" s="47">
        <v>12.06</v>
      </c>
      <c r="L13" s="47">
        <v>1.06</v>
      </c>
      <c r="M13" s="47">
        <v>1.58</v>
      </c>
      <c r="N13" s="47">
        <v>0.5</v>
      </c>
      <c r="O13" s="47">
        <v>0.5</v>
      </c>
      <c r="P13" s="47">
        <v>2.68</v>
      </c>
      <c r="Q13" s="47">
        <v>1.68</v>
      </c>
      <c r="R13" s="47">
        <v>0</v>
      </c>
      <c r="S13" s="47">
        <v>4.74</v>
      </c>
      <c r="T13" s="47">
        <v>105.005</v>
      </c>
      <c r="U13" s="52">
        <v>32.659999999999997</v>
      </c>
    </row>
    <row r="14" spans="1:27" x14ac:dyDescent="0.2">
      <c r="A14" s="13" t="s">
        <v>113</v>
      </c>
      <c r="B14" s="51">
        <v>0</v>
      </c>
      <c r="C14" s="47">
        <v>0</v>
      </c>
      <c r="D14" s="47">
        <v>0</v>
      </c>
      <c r="E14" s="47">
        <v>0</v>
      </c>
      <c r="F14" s="47">
        <v>0</v>
      </c>
      <c r="G14" s="52">
        <v>0</v>
      </c>
      <c r="H14" s="51">
        <v>0</v>
      </c>
      <c r="I14" s="47">
        <v>0</v>
      </c>
      <c r="J14" s="47">
        <v>0</v>
      </c>
      <c r="K14" s="47">
        <v>7.88</v>
      </c>
      <c r="L14" s="47">
        <v>0</v>
      </c>
      <c r="M14" s="47">
        <v>0</v>
      </c>
      <c r="N14" s="47">
        <v>0</v>
      </c>
      <c r="O14" s="47">
        <v>0</v>
      </c>
      <c r="P14" s="47">
        <v>0</v>
      </c>
      <c r="Q14" s="47">
        <v>0</v>
      </c>
      <c r="R14" s="47">
        <v>0</v>
      </c>
      <c r="S14" s="47">
        <v>0</v>
      </c>
      <c r="T14" s="47">
        <v>0</v>
      </c>
      <c r="U14" s="52">
        <v>0</v>
      </c>
    </row>
    <row r="15" spans="1:27" x14ac:dyDescent="0.2">
      <c r="A15" s="13" t="s">
        <v>114</v>
      </c>
      <c r="B15" s="51">
        <v>0</v>
      </c>
      <c r="C15" s="47">
        <v>0</v>
      </c>
      <c r="D15" s="47">
        <v>2.86</v>
      </c>
      <c r="E15" s="47">
        <v>0</v>
      </c>
      <c r="F15" s="47">
        <v>196.26</v>
      </c>
      <c r="G15" s="52">
        <v>2.88</v>
      </c>
      <c r="H15" s="51">
        <v>2.4</v>
      </c>
      <c r="I15" s="47">
        <v>1.1200000000000001</v>
      </c>
      <c r="J15" s="47">
        <v>1.1599999999999999</v>
      </c>
      <c r="K15" s="47">
        <v>12.06</v>
      </c>
      <c r="L15" s="47">
        <v>1.06</v>
      </c>
      <c r="M15" s="47">
        <v>1.58</v>
      </c>
      <c r="N15" s="47">
        <v>0.5</v>
      </c>
      <c r="O15" s="47">
        <v>0.5</v>
      </c>
      <c r="P15" s="47">
        <v>2.68</v>
      </c>
      <c r="Q15" s="47">
        <v>1.68</v>
      </c>
      <c r="R15" s="47">
        <v>0</v>
      </c>
      <c r="S15" s="47">
        <v>4.74</v>
      </c>
      <c r="T15" s="47">
        <v>105.005</v>
      </c>
      <c r="U15" s="52">
        <v>32.659999999999997</v>
      </c>
    </row>
    <row r="16" spans="1:27" x14ac:dyDescent="0.2">
      <c r="A16" s="13" t="s">
        <v>116</v>
      </c>
      <c r="B16" s="51">
        <v>0</v>
      </c>
      <c r="C16" s="47">
        <v>0</v>
      </c>
      <c r="D16" s="47">
        <v>0</v>
      </c>
      <c r="E16" s="47">
        <v>0</v>
      </c>
      <c r="F16" s="47">
        <v>0</v>
      </c>
      <c r="G16" s="52">
        <v>0</v>
      </c>
      <c r="H16" s="51">
        <v>0</v>
      </c>
      <c r="I16" s="47">
        <v>0</v>
      </c>
      <c r="J16" s="47">
        <v>0.01</v>
      </c>
      <c r="K16" s="47">
        <v>0</v>
      </c>
      <c r="L16" s="47">
        <v>0</v>
      </c>
      <c r="M16" s="47">
        <v>0</v>
      </c>
      <c r="N16" s="47">
        <v>0</v>
      </c>
      <c r="O16" s="47">
        <v>0</v>
      </c>
      <c r="P16" s="47">
        <v>0</v>
      </c>
      <c r="Q16" s="47">
        <v>0</v>
      </c>
      <c r="R16" s="47">
        <v>0</v>
      </c>
      <c r="S16" s="47">
        <v>0</v>
      </c>
      <c r="T16" s="47">
        <v>0</v>
      </c>
      <c r="U16" s="52">
        <v>2.8</v>
      </c>
    </row>
    <row r="17" spans="1:21" x14ac:dyDescent="0.2">
      <c r="A17" s="22" t="s">
        <v>84</v>
      </c>
      <c r="B17" s="51">
        <v>0</v>
      </c>
      <c r="C17" s="47">
        <v>0</v>
      </c>
      <c r="D17" s="47">
        <v>0</v>
      </c>
      <c r="E17" s="47">
        <v>0</v>
      </c>
      <c r="F17" s="47">
        <v>0</v>
      </c>
      <c r="G17" s="52">
        <v>0</v>
      </c>
      <c r="H17" s="51">
        <v>0</v>
      </c>
      <c r="I17" s="47">
        <v>0</v>
      </c>
      <c r="J17" s="47">
        <v>0</v>
      </c>
      <c r="K17" s="47">
        <v>0</v>
      </c>
      <c r="L17" s="47">
        <v>0.01</v>
      </c>
      <c r="M17" s="47">
        <v>0</v>
      </c>
      <c r="N17" s="47">
        <v>0</v>
      </c>
      <c r="O17" s="47">
        <v>0</v>
      </c>
      <c r="P17" s="47">
        <v>0</v>
      </c>
      <c r="Q17" s="47">
        <v>0</v>
      </c>
      <c r="R17" s="47">
        <v>0</v>
      </c>
      <c r="S17" s="47">
        <v>0</v>
      </c>
      <c r="T17" s="47">
        <v>0</v>
      </c>
      <c r="U17" s="52">
        <v>0</v>
      </c>
    </row>
    <row r="18" spans="1:21" x14ac:dyDescent="0.2">
      <c r="A18" s="13" t="s">
        <v>117</v>
      </c>
      <c r="B18" s="51">
        <v>0</v>
      </c>
      <c r="C18" s="47">
        <v>0</v>
      </c>
      <c r="D18" s="47">
        <v>0.01</v>
      </c>
      <c r="E18" s="47">
        <v>0</v>
      </c>
      <c r="F18" s="47">
        <v>0</v>
      </c>
      <c r="G18" s="52">
        <v>0.01</v>
      </c>
      <c r="H18" s="51">
        <v>0.01</v>
      </c>
      <c r="I18" s="47">
        <v>0</v>
      </c>
      <c r="J18" s="47">
        <v>0.64</v>
      </c>
      <c r="K18" s="47">
        <v>0</v>
      </c>
      <c r="L18" s="47">
        <v>0</v>
      </c>
      <c r="M18" s="47">
        <v>0</v>
      </c>
      <c r="N18" s="47">
        <v>0</v>
      </c>
      <c r="O18" s="47">
        <v>0</v>
      </c>
      <c r="P18" s="47">
        <v>0</v>
      </c>
      <c r="Q18" s="47">
        <v>0</v>
      </c>
      <c r="R18" s="47">
        <v>0</v>
      </c>
      <c r="S18" s="47">
        <v>0</v>
      </c>
      <c r="T18" s="47">
        <v>0</v>
      </c>
      <c r="U18" s="52">
        <v>0</v>
      </c>
    </row>
    <row r="19" spans="1:21" x14ac:dyDescent="0.2">
      <c r="A19" s="13" t="s">
        <v>119</v>
      </c>
      <c r="B19" s="51">
        <v>0</v>
      </c>
      <c r="C19" s="47">
        <v>0.01</v>
      </c>
      <c r="D19" s="47">
        <v>0</v>
      </c>
      <c r="E19" s="47">
        <v>0</v>
      </c>
      <c r="F19" s="47">
        <v>3.8</v>
      </c>
      <c r="G19" s="52">
        <v>0.01</v>
      </c>
      <c r="H19" s="51">
        <v>0</v>
      </c>
      <c r="I19" s="47">
        <v>0</v>
      </c>
      <c r="J19" s="47">
        <v>0</v>
      </c>
      <c r="K19" s="47">
        <v>0</v>
      </c>
      <c r="L19" s="47">
        <v>0</v>
      </c>
      <c r="M19" s="47">
        <v>0</v>
      </c>
      <c r="N19" s="47">
        <v>0</v>
      </c>
      <c r="O19" s="47">
        <v>0</v>
      </c>
      <c r="P19" s="47">
        <v>0</v>
      </c>
      <c r="Q19" s="47">
        <v>0</v>
      </c>
      <c r="R19" s="47">
        <v>0</v>
      </c>
      <c r="S19" s="47">
        <v>0</v>
      </c>
      <c r="T19" s="47">
        <v>0</v>
      </c>
      <c r="U19" s="52">
        <v>0</v>
      </c>
    </row>
    <row r="20" spans="1:21" x14ac:dyDescent="0.2">
      <c r="A20" s="13" t="s">
        <v>144</v>
      </c>
      <c r="B20" s="51">
        <v>8.82</v>
      </c>
      <c r="C20" s="47">
        <v>0</v>
      </c>
      <c r="D20" s="47">
        <v>14.88</v>
      </c>
      <c r="E20" s="47">
        <v>0</v>
      </c>
      <c r="F20" s="47">
        <v>0</v>
      </c>
      <c r="G20" s="52">
        <v>73.14</v>
      </c>
      <c r="H20" s="51">
        <v>1.3</v>
      </c>
      <c r="I20" s="47">
        <v>0.7</v>
      </c>
      <c r="J20" s="47">
        <v>18.899999999999999</v>
      </c>
      <c r="K20" s="47">
        <v>13.76</v>
      </c>
      <c r="L20" s="47">
        <v>0.3</v>
      </c>
      <c r="M20" s="47">
        <v>0.14000000000000001</v>
      </c>
      <c r="N20" s="47">
        <v>2.4</v>
      </c>
      <c r="O20" s="47">
        <v>0.22</v>
      </c>
      <c r="P20" s="47">
        <v>47.24</v>
      </c>
      <c r="Q20" s="47">
        <v>0</v>
      </c>
      <c r="R20" s="47">
        <v>0</v>
      </c>
      <c r="S20" s="47">
        <v>341.8</v>
      </c>
      <c r="T20" s="47">
        <v>67.16</v>
      </c>
      <c r="U20" s="52">
        <v>83.4</v>
      </c>
    </row>
    <row r="21" spans="1:21" x14ac:dyDescent="0.2">
      <c r="A21" s="13" t="s">
        <v>123</v>
      </c>
      <c r="B21" s="51">
        <v>1</v>
      </c>
      <c r="C21" s="47">
        <v>0</v>
      </c>
      <c r="D21" s="47">
        <v>0.01</v>
      </c>
      <c r="E21" s="47">
        <v>0</v>
      </c>
      <c r="F21" s="47">
        <v>0</v>
      </c>
      <c r="G21" s="52">
        <v>0</v>
      </c>
      <c r="H21" s="51">
        <v>204.64</v>
      </c>
      <c r="I21" s="47">
        <v>124.12</v>
      </c>
      <c r="J21" s="47">
        <v>1.36</v>
      </c>
      <c r="K21" s="47">
        <v>184.64</v>
      </c>
      <c r="L21" s="47">
        <v>234.4</v>
      </c>
      <c r="M21" s="47">
        <v>200.72</v>
      </c>
      <c r="N21" s="47">
        <v>14.04</v>
      </c>
      <c r="O21" s="47">
        <v>0.44</v>
      </c>
      <c r="P21" s="47">
        <v>143.96</v>
      </c>
      <c r="Q21" s="47">
        <v>109.12</v>
      </c>
      <c r="R21" s="47">
        <v>0</v>
      </c>
      <c r="S21" s="47">
        <v>1</v>
      </c>
      <c r="T21" s="47">
        <v>36.520000000000003</v>
      </c>
      <c r="U21" s="52">
        <v>45.08</v>
      </c>
    </row>
    <row r="22" spans="1:21" x14ac:dyDescent="0.2">
      <c r="A22" s="4" t="s">
        <v>80</v>
      </c>
      <c r="B22" s="51">
        <v>0.8</v>
      </c>
      <c r="C22" s="47">
        <v>0</v>
      </c>
      <c r="D22" s="47">
        <v>58.32</v>
      </c>
      <c r="E22" s="47">
        <v>2.8</v>
      </c>
      <c r="F22" s="47">
        <v>0</v>
      </c>
      <c r="G22" s="52">
        <v>0</v>
      </c>
      <c r="H22" s="51">
        <v>0.01</v>
      </c>
      <c r="I22" s="47">
        <v>129.24</v>
      </c>
      <c r="J22" s="47">
        <v>0.32</v>
      </c>
      <c r="K22" s="47">
        <v>0</v>
      </c>
      <c r="L22" s="47">
        <v>0</v>
      </c>
      <c r="M22" s="47">
        <v>0</v>
      </c>
      <c r="N22" s="47">
        <v>0</v>
      </c>
      <c r="O22" s="47">
        <v>43.12</v>
      </c>
      <c r="P22" s="47">
        <v>0</v>
      </c>
      <c r="Q22" s="47">
        <v>0</v>
      </c>
      <c r="R22" s="47">
        <v>0</v>
      </c>
      <c r="S22" s="47">
        <v>0</v>
      </c>
      <c r="T22" s="47">
        <v>0</v>
      </c>
      <c r="U22" s="52">
        <v>0</v>
      </c>
    </row>
    <row r="23" spans="1:21" x14ac:dyDescent="0.2">
      <c r="A23" s="13" t="s">
        <v>154</v>
      </c>
      <c r="B23" s="51">
        <v>0</v>
      </c>
      <c r="C23" s="47">
        <v>0</v>
      </c>
      <c r="D23" s="47">
        <v>0</v>
      </c>
      <c r="E23" s="47">
        <v>0</v>
      </c>
      <c r="F23" s="47">
        <v>0</v>
      </c>
      <c r="G23" s="52">
        <v>0</v>
      </c>
      <c r="H23" s="51">
        <v>0</v>
      </c>
      <c r="I23" s="47">
        <v>0</v>
      </c>
      <c r="J23" s="47">
        <v>0.12</v>
      </c>
      <c r="K23" s="47">
        <v>0</v>
      </c>
      <c r="L23" s="47">
        <v>0</v>
      </c>
      <c r="M23" s="47">
        <v>0</v>
      </c>
      <c r="N23" s="47">
        <v>0</v>
      </c>
      <c r="O23" s="47">
        <v>0</v>
      </c>
      <c r="P23" s="47">
        <v>0</v>
      </c>
      <c r="Q23" s="47">
        <v>0</v>
      </c>
      <c r="R23" s="47">
        <v>0</v>
      </c>
      <c r="S23" s="47">
        <v>0</v>
      </c>
      <c r="T23" s="47">
        <v>0</v>
      </c>
      <c r="U23" s="52">
        <v>0</v>
      </c>
    </row>
    <row r="24" spans="1:21" x14ac:dyDescent="0.2">
      <c r="A24" s="13" t="s">
        <v>140</v>
      </c>
      <c r="B24" s="51">
        <v>0</v>
      </c>
      <c r="C24" s="47">
        <v>0</v>
      </c>
      <c r="D24" s="47">
        <v>0</v>
      </c>
      <c r="E24" s="47">
        <v>0</v>
      </c>
      <c r="F24" s="47">
        <v>0</v>
      </c>
      <c r="G24" s="52">
        <v>44.32</v>
      </c>
      <c r="H24" s="51">
        <v>0</v>
      </c>
      <c r="I24" s="47">
        <v>0</v>
      </c>
      <c r="J24" s="47">
        <v>0</v>
      </c>
      <c r="K24" s="47">
        <v>0</v>
      </c>
      <c r="L24" s="47">
        <v>0</v>
      </c>
      <c r="M24" s="47">
        <v>0</v>
      </c>
      <c r="N24" s="47">
        <v>0</v>
      </c>
      <c r="O24" s="47">
        <v>0</v>
      </c>
      <c r="P24" s="47">
        <v>0</v>
      </c>
      <c r="Q24" s="47">
        <v>0</v>
      </c>
      <c r="R24" s="47">
        <v>0</v>
      </c>
      <c r="S24" s="47">
        <v>0</v>
      </c>
      <c r="T24" s="47">
        <v>0</v>
      </c>
      <c r="U24" s="52">
        <v>0</v>
      </c>
    </row>
    <row r="25" spans="1:21" x14ac:dyDescent="0.2">
      <c r="A25" s="13" t="s">
        <v>76</v>
      </c>
      <c r="B25" s="51">
        <v>9.6</v>
      </c>
      <c r="C25" s="47">
        <v>0</v>
      </c>
      <c r="D25" s="47">
        <v>0</v>
      </c>
      <c r="E25" s="47">
        <v>0</v>
      </c>
      <c r="F25" s="47">
        <v>0</v>
      </c>
      <c r="G25" s="52">
        <v>47.2</v>
      </c>
      <c r="H25" s="51">
        <v>0</v>
      </c>
      <c r="I25" s="47">
        <v>0</v>
      </c>
      <c r="J25" s="47">
        <v>0</v>
      </c>
      <c r="K25" s="47">
        <v>0</v>
      </c>
      <c r="L25" s="47">
        <v>0</v>
      </c>
      <c r="M25" s="47">
        <v>0</v>
      </c>
      <c r="N25" s="47">
        <v>2.64</v>
      </c>
      <c r="O25" s="47">
        <v>0</v>
      </c>
      <c r="P25" s="47">
        <v>0</v>
      </c>
      <c r="Q25" s="47">
        <v>0</v>
      </c>
      <c r="R25" s="47">
        <v>0</v>
      </c>
      <c r="S25" s="47">
        <v>0</v>
      </c>
      <c r="T25" s="47">
        <v>0</v>
      </c>
      <c r="U25" s="52">
        <v>0</v>
      </c>
    </row>
    <row r="26" spans="1:21" x14ac:dyDescent="0.2">
      <c r="A26" s="22" t="s">
        <v>166</v>
      </c>
      <c r="B26" s="53">
        <v>0</v>
      </c>
      <c r="C26" s="54">
        <v>0</v>
      </c>
      <c r="D26" s="54">
        <v>0</v>
      </c>
      <c r="E26" s="54">
        <v>0</v>
      </c>
      <c r="F26" s="54">
        <v>0.01</v>
      </c>
      <c r="G26" s="55">
        <v>0</v>
      </c>
      <c r="H26" s="53">
        <v>0</v>
      </c>
      <c r="I26" s="54">
        <v>0</v>
      </c>
      <c r="J26" s="54">
        <v>0</v>
      </c>
      <c r="K26" s="54">
        <v>0</v>
      </c>
      <c r="L26" s="54">
        <v>0</v>
      </c>
      <c r="M26" s="54">
        <v>0</v>
      </c>
      <c r="N26" s="54">
        <v>0</v>
      </c>
      <c r="O26" s="54">
        <v>0</v>
      </c>
      <c r="P26" s="54">
        <v>0</v>
      </c>
      <c r="Q26" s="54">
        <v>0</v>
      </c>
      <c r="R26" s="54">
        <v>0</v>
      </c>
      <c r="S26" s="54">
        <v>0</v>
      </c>
      <c r="T26" s="54">
        <v>0</v>
      </c>
      <c r="U26" s="55">
        <v>0</v>
      </c>
    </row>
  </sheetData>
  <sortState xmlns:xlrd2="http://schemas.microsoft.com/office/spreadsheetml/2017/richdata2" ref="A3:U26">
    <sortCondition ref="A3:A26"/>
  </sortState>
  <mergeCells count="2">
    <mergeCell ref="B1:G1"/>
    <mergeCell ref="H1:U1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85"/>
  <sheetViews>
    <sheetView tabSelected="1" zoomScaleNormal="100" workbookViewId="0">
      <selection activeCell="G1" sqref="G1:M1048576"/>
    </sheetView>
  </sheetViews>
  <sheetFormatPr baseColWidth="10" defaultColWidth="8.83203125" defaultRowHeight="18" x14ac:dyDescent="0.2"/>
  <cols>
    <col min="1" max="1" width="16.33203125" style="45" customWidth="1"/>
    <col min="2" max="2" width="17.33203125" style="12" customWidth="1"/>
    <col min="3" max="3" width="19.6640625" style="12" customWidth="1"/>
    <col min="4" max="4" width="79" style="12" customWidth="1"/>
    <col min="5" max="5" width="8.83203125" style="68"/>
    <col min="6" max="6" width="18.33203125" style="68" customWidth="1"/>
    <col min="7" max="16384" width="8.83203125" style="12"/>
  </cols>
  <sheetData>
    <row r="1" spans="1:6" s="60" customFormat="1" ht="38" x14ac:dyDescent="0.2">
      <c r="A1" s="17" t="s">
        <v>172</v>
      </c>
      <c r="B1" s="60" t="s">
        <v>173</v>
      </c>
      <c r="C1" s="60" t="s">
        <v>174</v>
      </c>
      <c r="D1" s="60" t="s">
        <v>100</v>
      </c>
      <c r="E1" s="67" t="s">
        <v>175</v>
      </c>
      <c r="F1" s="70" t="s">
        <v>176</v>
      </c>
    </row>
    <row r="2" spans="1:6" x14ac:dyDescent="0.2">
      <c r="A2" s="12" t="s">
        <v>28</v>
      </c>
      <c r="B2" s="12" t="s">
        <v>29</v>
      </c>
      <c r="C2" s="12" t="s">
        <v>30</v>
      </c>
      <c r="D2" s="13" t="s">
        <v>33</v>
      </c>
      <c r="F2" s="58" t="s">
        <v>24</v>
      </c>
    </row>
    <row r="3" spans="1:6" x14ac:dyDescent="0.2">
      <c r="A3" s="12" t="s">
        <v>28</v>
      </c>
      <c r="B3" s="12" t="s">
        <v>53</v>
      </c>
      <c r="C3" s="12" t="s">
        <v>54</v>
      </c>
      <c r="D3" s="13" t="s">
        <v>56</v>
      </c>
      <c r="E3" s="69" t="s">
        <v>177</v>
      </c>
      <c r="F3" s="58" t="s">
        <v>21</v>
      </c>
    </row>
    <row r="4" spans="1:6" x14ac:dyDescent="0.2">
      <c r="A4" s="12" t="s">
        <v>28</v>
      </c>
      <c r="B4" s="12" t="s">
        <v>29</v>
      </c>
      <c r="C4" s="12" t="s">
        <v>30</v>
      </c>
      <c r="D4" s="13" t="s">
        <v>34</v>
      </c>
      <c r="F4" s="58" t="s">
        <v>21</v>
      </c>
    </row>
    <row r="5" spans="1:6" x14ac:dyDescent="0.2">
      <c r="A5" s="12" t="s">
        <v>28</v>
      </c>
      <c r="B5" s="12" t="s">
        <v>29</v>
      </c>
      <c r="C5" s="12" t="s">
        <v>30</v>
      </c>
      <c r="D5" s="24" t="s">
        <v>95</v>
      </c>
      <c r="F5" s="72" t="s">
        <v>23</v>
      </c>
    </row>
    <row r="6" spans="1:6" x14ac:dyDescent="0.2">
      <c r="A6" s="43" t="s">
        <v>37</v>
      </c>
      <c r="B6" s="43" t="s">
        <v>148</v>
      </c>
      <c r="C6" s="43" t="s">
        <v>149</v>
      </c>
      <c r="D6" s="13" t="s">
        <v>137</v>
      </c>
      <c r="F6" s="58" t="s">
        <v>22</v>
      </c>
    </row>
    <row r="7" spans="1:6" x14ac:dyDescent="0.2">
      <c r="A7" s="12" t="s">
        <v>28</v>
      </c>
      <c r="B7" s="12" t="s">
        <v>29</v>
      </c>
      <c r="C7" s="12" t="s">
        <v>31</v>
      </c>
      <c r="D7" s="13" t="s">
        <v>35</v>
      </c>
      <c r="F7" s="72" t="s">
        <v>21</v>
      </c>
    </row>
    <row r="8" spans="1:6" x14ac:dyDescent="0.2">
      <c r="A8" s="43" t="s">
        <v>37</v>
      </c>
      <c r="B8" s="43" t="s">
        <v>148</v>
      </c>
      <c r="C8" s="43" t="s">
        <v>150</v>
      </c>
      <c r="D8" s="13" t="s">
        <v>138</v>
      </c>
      <c r="F8" s="72" t="s">
        <v>25</v>
      </c>
    </row>
    <row r="9" spans="1:6" x14ac:dyDescent="0.2">
      <c r="A9" s="12" t="s">
        <v>28</v>
      </c>
      <c r="B9" s="12" t="s">
        <v>29</v>
      </c>
      <c r="C9" s="12" t="s">
        <v>32</v>
      </c>
      <c r="D9" s="13" t="s">
        <v>36</v>
      </c>
      <c r="F9" s="72" t="s">
        <v>22</v>
      </c>
    </row>
    <row r="10" spans="1:6" x14ac:dyDescent="0.2">
      <c r="A10" s="12" t="s">
        <v>28</v>
      </c>
      <c r="B10" s="12" t="s">
        <v>29</v>
      </c>
      <c r="C10" s="12" t="s">
        <v>32</v>
      </c>
      <c r="D10" s="22" t="s">
        <v>167</v>
      </c>
      <c r="F10" s="72" t="s">
        <v>22</v>
      </c>
    </row>
    <row r="11" spans="1:6" x14ac:dyDescent="0.2">
      <c r="A11" s="12" t="s">
        <v>37</v>
      </c>
      <c r="B11" s="12" t="s">
        <v>38</v>
      </c>
      <c r="C11" s="12" t="s">
        <v>39</v>
      </c>
      <c r="D11" s="13" t="s">
        <v>61</v>
      </c>
      <c r="F11" s="72" t="s">
        <v>22</v>
      </c>
    </row>
    <row r="12" spans="1:6" x14ac:dyDescent="0.2">
      <c r="A12" s="12" t="s">
        <v>28</v>
      </c>
      <c r="B12" s="12" t="s">
        <v>29</v>
      </c>
      <c r="C12" s="12" t="s">
        <v>30</v>
      </c>
      <c r="D12" s="13" t="s">
        <v>62</v>
      </c>
      <c r="F12" s="72" t="s">
        <v>22</v>
      </c>
    </row>
    <row r="13" spans="1:6" x14ac:dyDescent="0.2">
      <c r="A13" s="12" t="s">
        <v>37</v>
      </c>
      <c r="B13" s="12" t="s">
        <v>38</v>
      </c>
      <c r="C13" s="12" t="s">
        <v>39</v>
      </c>
      <c r="D13" s="13" t="s">
        <v>171</v>
      </c>
      <c r="F13" s="72" t="s">
        <v>21</v>
      </c>
    </row>
    <row r="14" spans="1:6" x14ac:dyDescent="0.2">
      <c r="A14" s="12" t="s">
        <v>37</v>
      </c>
      <c r="B14" s="12" t="s">
        <v>38</v>
      </c>
      <c r="C14" s="12" t="s">
        <v>39</v>
      </c>
      <c r="D14" s="23" t="s">
        <v>159</v>
      </c>
      <c r="F14" s="58" t="s">
        <v>22</v>
      </c>
    </row>
    <row r="15" spans="1:6" x14ac:dyDescent="0.2">
      <c r="A15" s="12" t="s">
        <v>37</v>
      </c>
      <c r="B15" s="12" t="s">
        <v>38</v>
      </c>
      <c r="C15" s="12" t="s">
        <v>39</v>
      </c>
      <c r="D15" s="22" t="s">
        <v>164</v>
      </c>
      <c r="F15" s="71"/>
    </row>
    <row r="16" spans="1:6" x14ac:dyDescent="0.2">
      <c r="A16" s="12" t="s">
        <v>42</v>
      </c>
      <c r="B16" s="12" t="s">
        <v>146</v>
      </c>
      <c r="C16" s="12" t="s">
        <v>147</v>
      </c>
      <c r="D16" s="13" t="s">
        <v>109</v>
      </c>
      <c r="F16" s="58" t="s">
        <v>22</v>
      </c>
    </row>
    <row r="17" spans="1:8" x14ac:dyDescent="0.2">
      <c r="A17" s="12" t="s">
        <v>42</v>
      </c>
      <c r="B17" s="12" t="s">
        <v>43</v>
      </c>
      <c r="C17" s="12" t="s">
        <v>44</v>
      </c>
      <c r="D17" s="24" t="s">
        <v>96</v>
      </c>
      <c r="F17" s="72" t="s">
        <v>22</v>
      </c>
    </row>
    <row r="18" spans="1:8" x14ac:dyDescent="0.2">
      <c r="A18" s="12" t="s">
        <v>42</v>
      </c>
      <c r="B18" s="12" t="s">
        <v>43</v>
      </c>
      <c r="C18" s="12" t="s">
        <v>44</v>
      </c>
      <c r="D18" s="4" t="s">
        <v>83</v>
      </c>
      <c r="F18" s="71"/>
    </row>
    <row r="19" spans="1:8" x14ac:dyDescent="0.2">
      <c r="A19" s="12" t="s">
        <v>28</v>
      </c>
      <c r="B19" s="12" t="s">
        <v>51</v>
      </c>
      <c r="C19" s="12" t="s">
        <v>170</v>
      </c>
      <c r="D19" s="22" t="s">
        <v>168</v>
      </c>
      <c r="F19" s="72" t="s">
        <v>21</v>
      </c>
    </row>
    <row r="20" spans="1:8" x14ac:dyDescent="0.2">
      <c r="A20" s="12" t="s">
        <v>28</v>
      </c>
      <c r="B20" s="12" t="s">
        <v>29</v>
      </c>
      <c r="C20" s="12" t="s">
        <v>32</v>
      </c>
      <c r="D20" s="22" t="s">
        <v>169</v>
      </c>
      <c r="F20" s="72" t="s">
        <v>22</v>
      </c>
    </row>
    <row r="21" spans="1:8" x14ac:dyDescent="0.2">
      <c r="A21" s="12" t="s">
        <v>28</v>
      </c>
      <c r="B21" s="12" t="s">
        <v>40</v>
      </c>
      <c r="C21" s="12" t="s">
        <v>41</v>
      </c>
      <c r="D21" s="13" t="s">
        <v>65</v>
      </c>
      <c r="F21" s="72" t="s">
        <v>22</v>
      </c>
    </row>
    <row r="22" spans="1:8" x14ac:dyDescent="0.2">
      <c r="A22" s="12" t="s">
        <v>28</v>
      </c>
      <c r="B22" s="12" t="s">
        <v>40</v>
      </c>
      <c r="C22" s="12" t="s">
        <v>41</v>
      </c>
      <c r="D22" s="13" t="s">
        <v>66</v>
      </c>
      <c r="F22" s="72" t="s">
        <v>21</v>
      </c>
    </row>
    <row r="23" spans="1:8" x14ac:dyDescent="0.2">
      <c r="A23" s="12" t="s">
        <v>28</v>
      </c>
      <c r="B23" s="12" t="s">
        <v>40</v>
      </c>
      <c r="C23" s="12" t="s">
        <v>41</v>
      </c>
      <c r="D23" s="13" t="s">
        <v>63</v>
      </c>
      <c r="F23" s="72" t="s">
        <v>21</v>
      </c>
    </row>
    <row r="24" spans="1:8" x14ac:dyDescent="0.2">
      <c r="A24" s="12" t="s">
        <v>28</v>
      </c>
      <c r="B24" s="12" t="s">
        <v>40</v>
      </c>
      <c r="C24" s="12" t="s">
        <v>41</v>
      </c>
      <c r="D24" s="13" t="s">
        <v>113</v>
      </c>
      <c r="F24" s="72" t="s">
        <v>23</v>
      </c>
      <c r="H24" s="41"/>
    </row>
    <row r="25" spans="1:8" x14ac:dyDescent="0.2">
      <c r="A25" s="12" t="s">
        <v>28</v>
      </c>
      <c r="B25" s="12" t="s">
        <v>40</v>
      </c>
      <c r="C25" s="12" t="s">
        <v>41</v>
      </c>
      <c r="D25" s="13" t="s">
        <v>64</v>
      </c>
      <c r="F25" s="72" t="s">
        <v>22</v>
      </c>
    </row>
    <row r="26" spans="1:8" x14ac:dyDescent="0.2">
      <c r="A26" s="12" t="s">
        <v>28</v>
      </c>
      <c r="B26" s="12" t="s">
        <v>135</v>
      </c>
      <c r="C26" s="12" t="s">
        <v>136</v>
      </c>
      <c r="D26" s="13" t="s">
        <v>115</v>
      </c>
      <c r="F26" s="72" t="s">
        <v>22</v>
      </c>
    </row>
    <row r="27" spans="1:8" x14ac:dyDescent="0.2">
      <c r="A27" s="12" t="s">
        <v>28</v>
      </c>
      <c r="B27" s="12" t="s">
        <v>29</v>
      </c>
      <c r="C27" s="12" t="s">
        <v>47</v>
      </c>
      <c r="D27" s="13" t="s">
        <v>67</v>
      </c>
      <c r="F27" s="72" t="s">
        <v>21</v>
      </c>
    </row>
    <row r="28" spans="1:8" x14ac:dyDescent="0.2">
      <c r="A28" s="12" t="s">
        <v>28</v>
      </c>
      <c r="B28" s="12" t="s">
        <v>29</v>
      </c>
      <c r="C28" s="12" t="s">
        <v>30</v>
      </c>
      <c r="D28" s="13" t="s">
        <v>68</v>
      </c>
      <c r="F28" s="72" t="s">
        <v>25</v>
      </c>
    </row>
    <row r="29" spans="1:8" x14ac:dyDescent="0.2">
      <c r="A29" s="12" t="s">
        <v>28</v>
      </c>
      <c r="B29" s="12" t="s">
        <v>29</v>
      </c>
      <c r="C29" s="12" t="s">
        <v>30</v>
      </c>
      <c r="D29" s="4" t="s">
        <v>84</v>
      </c>
      <c r="F29" s="72" t="s">
        <v>25</v>
      </c>
    </row>
    <row r="30" spans="1:8" x14ac:dyDescent="0.2">
      <c r="A30" s="12" t="s">
        <v>28</v>
      </c>
      <c r="B30" s="12" t="s">
        <v>48</v>
      </c>
      <c r="C30" s="12" t="s">
        <v>49</v>
      </c>
      <c r="D30" s="13" t="s">
        <v>69</v>
      </c>
      <c r="E30" s="68" t="s">
        <v>177</v>
      </c>
      <c r="F30" s="72" t="s">
        <v>25</v>
      </c>
    </row>
    <row r="31" spans="1:8" x14ac:dyDescent="0.2">
      <c r="A31" s="12" t="s">
        <v>28</v>
      </c>
      <c r="B31" s="12" t="s">
        <v>51</v>
      </c>
      <c r="C31" s="12" t="s">
        <v>88</v>
      </c>
      <c r="D31" s="23" t="s">
        <v>89</v>
      </c>
      <c r="F31" s="72" t="s">
        <v>23</v>
      </c>
    </row>
    <row r="32" spans="1:8" x14ac:dyDescent="0.2">
      <c r="A32" s="4" t="s">
        <v>28</v>
      </c>
      <c r="B32" s="4" t="s">
        <v>29</v>
      </c>
      <c r="C32" s="4" t="s">
        <v>50</v>
      </c>
      <c r="D32" s="16" t="s">
        <v>85</v>
      </c>
      <c r="F32" s="72" t="s">
        <v>23</v>
      </c>
    </row>
    <row r="33" spans="1:6" x14ac:dyDescent="0.2">
      <c r="A33" s="4" t="s">
        <v>28</v>
      </c>
      <c r="B33" s="4" t="s">
        <v>48</v>
      </c>
      <c r="C33" s="4" t="s">
        <v>158</v>
      </c>
      <c r="D33" s="22" t="s">
        <v>157</v>
      </c>
    </row>
    <row r="34" spans="1:6" x14ac:dyDescent="0.2">
      <c r="A34" s="12" t="s">
        <v>28</v>
      </c>
      <c r="B34" s="12" t="s">
        <v>29</v>
      </c>
      <c r="C34" s="12" t="s">
        <v>30</v>
      </c>
      <c r="D34" s="13" t="s">
        <v>130</v>
      </c>
      <c r="F34" s="58" t="s">
        <v>22</v>
      </c>
    </row>
    <row r="35" spans="1:6" x14ac:dyDescent="0.2">
      <c r="A35" s="12" t="s">
        <v>28</v>
      </c>
      <c r="B35" s="12" t="s">
        <v>29</v>
      </c>
      <c r="C35" s="12" t="s">
        <v>30</v>
      </c>
      <c r="D35" s="13" t="s">
        <v>70</v>
      </c>
      <c r="F35" s="58" t="s">
        <v>21</v>
      </c>
    </row>
    <row r="36" spans="1:6" x14ac:dyDescent="0.2">
      <c r="A36" s="12" t="s">
        <v>28</v>
      </c>
      <c r="B36" s="12" t="s">
        <v>133</v>
      </c>
      <c r="C36" s="12" t="s">
        <v>134</v>
      </c>
      <c r="D36" s="13" t="s">
        <v>120</v>
      </c>
      <c r="F36" s="58" t="s">
        <v>22</v>
      </c>
    </row>
    <row r="37" spans="1:6" x14ac:dyDescent="0.2">
      <c r="A37" s="12" t="s">
        <v>28</v>
      </c>
      <c r="B37" s="12" t="s">
        <v>29</v>
      </c>
      <c r="C37" s="12" t="s">
        <v>50</v>
      </c>
      <c r="D37" s="23" t="s">
        <v>90</v>
      </c>
      <c r="F37" s="72" t="s">
        <v>21</v>
      </c>
    </row>
    <row r="38" spans="1:6" x14ac:dyDescent="0.2">
      <c r="A38" s="12" t="s">
        <v>28</v>
      </c>
      <c r="B38" s="12" t="s">
        <v>29</v>
      </c>
      <c r="C38" s="12" t="s">
        <v>50</v>
      </c>
      <c r="D38" s="13" t="s">
        <v>71</v>
      </c>
      <c r="F38" s="72" t="s">
        <v>21</v>
      </c>
    </row>
    <row r="39" spans="1:6" x14ac:dyDescent="0.2">
      <c r="A39" s="12" t="s">
        <v>28</v>
      </c>
      <c r="B39" s="12" t="s">
        <v>51</v>
      </c>
      <c r="C39" s="12" t="s">
        <v>52</v>
      </c>
      <c r="D39" s="13" t="s">
        <v>72</v>
      </c>
      <c r="F39" s="72" t="s">
        <v>21</v>
      </c>
    </row>
    <row r="40" spans="1:6" x14ac:dyDescent="0.2">
      <c r="A40" s="12" t="s">
        <v>28</v>
      </c>
      <c r="B40" s="12" t="s">
        <v>53</v>
      </c>
      <c r="C40" s="12" t="s">
        <v>54</v>
      </c>
      <c r="D40" s="13" t="s">
        <v>55</v>
      </c>
      <c r="E40" s="68" t="s">
        <v>177</v>
      </c>
      <c r="F40" s="72" t="s">
        <v>21</v>
      </c>
    </row>
    <row r="41" spans="1:6" x14ac:dyDescent="0.2">
      <c r="A41" s="12" t="s">
        <v>28</v>
      </c>
      <c r="B41" s="12" t="s">
        <v>29</v>
      </c>
      <c r="C41" s="12" t="s">
        <v>31</v>
      </c>
      <c r="D41" s="13" t="s">
        <v>73</v>
      </c>
      <c r="F41" s="72" t="s">
        <v>22</v>
      </c>
    </row>
    <row r="42" spans="1:6" x14ac:dyDescent="0.2">
      <c r="A42" s="12" t="s">
        <v>42</v>
      </c>
      <c r="B42" s="12" t="s">
        <v>43</v>
      </c>
      <c r="C42" s="12" t="s">
        <v>94</v>
      </c>
      <c r="D42" s="24" t="s">
        <v>97</v>
      </c>
      <c r="F42" s="72" t="s">
        <v>21</v>
      </c>
    </row>
    <row r="43" spans="1:6" x14ac:dyDescent="0.2">
      <c r="A43" s="12" t="s">
        <v>28</v>
      </c>
      <c r="B43" s="12" t="s">
        <v>57</v>
      </c>
      <c r="C43" s="12" t="s">
        <v>58</v>
      </c>
      <c r="D43" s="13" t="s">
        <v>74</v>
      </c>
      <c r="F43" s="72" t="s">
        <v>22</v>
      </c>
    </row>
    <row r="44" spans="1:6" x14ac:dyDescent="0.2">
      <c r="A44" s="12" t="s">
        <v>42</v>
      </c>
      <c r="B44" s="12" t="s">
        <v>45</v>
      </c>
      <c r="C44" s="12" t="s">
        <v>46</v>
      </c>
      <c r="D44" s="4" t="s">
        <v>80</v>
      </c>
      <c r="F44" s="58" t="s">
        <v>24</v>
      </c>
    </row>
    <row r="45" spans="1:6" x14ac:dyDescent="0.2">
      <c r="A45" s="12" t="s">
        <v>37</v>
      </c>
      <c r="B45" s="12" t="s">
        <v>59</v>
      </c>
      <c r="C45" s="12" t="s">
        <v>60</v>
      </c>
      <c r="D45" s="13" t="s">
        <v>75</v>
      </c>
      <c r="F45" s="72" t="s">
        <v>22</v>
      </c>
    </row>
    <row r="46" spans="1:6" x14ac:dyDescent="0.2">
      <c r="A46" s="12" t="s">
        <v>37</v>
      </c>
      <c r="B46" s="12" t="s">
        <v>59</v>
      </c>
      <c r="C46" s="12" t="s">
        <v>60</v>
      </c>
      <c r="D46" s="13" t="s">
        <v>140</v>
      </c>
      <c r="F46" s="72" t="s">
        <v>21</v>
      </c>
    </row>
    <row r="47" spans="1:6" x14ac:dyDescent="0.2">
      <c r="A47" s="12" t="s">
        <v>37</v>
      </c>
      <c r="B47" s="12" t="s">
        <v>59</v>
      </c>
      <c r="C47" s="12" t="s">
        <v>60</v>
      </c>
      <c r="D47" s="23" t="s">
        <v>98</v>
      </c>
      <c r="F47" s="72" t="s">
        <v>22</v>
      </c>
    </row>
    <row r="48" spans="1:6" x14ac:dyDescent="0.2">
      <c r="A48" s="12" t="s">
        <v>37</v>
      </c>
      <c r="B48" s="12" t="s">
        <v>59</v>
      </c>
      <c r="C48" s="12" t="s">
        <v>60</v>
      </c>
      <c r="D48" s="23" t="s">
        <v>91</v>
      </c>
      <c r="F48" s="72" t="s">
        <v>22</v>
      </c>
    </row>
    <row r="49" spans="1:6" x14ac:dyDescent="0.2">
      <c r="A49" s="12" t="s">
        <v>37</v>
      </c>
      <c r="B49" s="12" t="s">
        <v>59</v>
      </c>
      <c r="C49" s="12" t="s">
        <v>60</v>
      </c>
      <c r="D49" s="13" t="s">
        <v>76</v>
      </c>
      <c r="F49" s="72" t="s">
        <v>22</v>
      </c>
    </row>
    <row r="50" spans="1:6" x14ac:dyDescent="0.2">
      <c r="A50" s="14" t="s">
        <v>37</v>
      </c>
      <c r="B50" s="14" t="s">
        <v>59</v>
      </c>
      <c r="C50" s="14" t="s">
        <v>60</v>
      </c>
      <c r="D50" s="15" t="s">
        <v>77</v>
      </c>
      <c r="F50" s="72" t="s">
        <v>22</v>
      </c>
    </row>
    <row r="51" spans="1:6" x14ac:dyDescent="0.2">
      <c r="A51" s="12" t="s">
        <v>37</v>
      </c>
      <c r="B51" s="12" t="s">
        <v>59</v>
      </c>
      <c r="C51" s="12" t="s">
        <v>60</v>
      </c>
      <c r="D51" s="13" t="s">
        <v>78</v>
      </c>
      <c r="F51" s="72" t="s">
        <v>21</v>
      </c>
    </row>
    <row r="52" spans="1:6" x14ac:dyDescent="0.2">
      <c r="A52" s="12" t="s">
        <v>37</v>
      </c>
      <c r="B52" s="12" t="s">
        <v>59</v>
      </c>
      <c r="C52" s="12" t="s">
        <v>60</v>
      </c>
      <c r="D52" s="13" t="s">
        <v>142</v>
      </c>
      <c r="F52" s="72" t="s">
        <v>21</v>
      </c>
    </row>
    <row r="53" spans="1:6" x14ac:dyDescent="0.2">
      <c r="A53" s="12" t="s">
        <v>37</v>
      </c>
      <c r="B53" s="12" t="s">
        <v>59</v>
      </c>
      <c r="C53" s="12" t="s">
        <v>60</v>
      </c>
      <c r="D53" s="13" t="s">
        <v>79</v>
      </c>
      <c r="F53" s="72" t="s">
        <v>21</v>
      </c>
    </row>
    <row r="54" spans="1:6" x14ac:dyDescent="0.2">
      <c r="A54" s="4" t="s">
        <v>81</v>
      </c>
      <c r="B54" s="4"/>
      <c r="C54" s="4"/>
      <c r="D54" s="41" t="s">
        <v>132</v>
      </c>
    </row>
    <row r="55" spans="1:6" x14ac:dyDescent="0.2">
      <c r="A55" s="45" t="s">
        <v>178</v>
      </c>
      <c r="D55" s="22" t="s">
        <v>179</v>
      </c>
    </row>
    <row r="56" spans="1:6" x14ac:dyDescent="0.2">
      <c r="A56" s="59"/>
    </row>
    <row r="57" spans="1:6" x14ac:dyDescent="0.2">
      <c r="A57" s="59"/>
    </row>
    <row r="58" spans="1:6" x14ac:dyDescent="0.2">
      <c r="A58" s="59"/>
    </row>
    <row r="59" spans="1:6" x14ac:dyDescent="0.2">
      <c r="A59" s="62"/>
      <c r="B59" s="63"/>
    </row>
    <row r="60" spans="1:6" x14ac:dyDescent="0.2">
      <c r="A60" s="61"/>
    </row>
    <row r="61" spans="1:6" x14ac:dyDescent="0.2">
      <c r="A61" s="59"/>
    </row>
    <row r="62" spans="1:6" x14ac:dyDescent="0.2">
      <c r="A62" s="59"/>
    </row>
    <row r="63" spans="1:6" x14ac:dyDescent="0.2">
      <c r="A63" s="59"/>
    </row>
    <row r="64" spans="1:6" x14ac:dyDescent="0.2">
      <c r="A64" s="59"/>
    </row>
    <row r="65" spans="1:2" x14ac:dyDescent="0.2">
      <c r="A65" s="59"/>
    </row>
    <row r="66" spans="1:2" x14ac:dyDescent="0.2">
      <c r="A66" s="64"/>
      <c r="B66" s="63"/>
    </row>
    <row r="67" spans="1:2" x14ac:dyDescent="0.2">
      <c r="A67" s="61"/>
    </row>
    <row r="68" spans="1:2" x14ac:dyDescent="0.2">
      <c r="A68" s="59"/>
    </row>
    <row r="69" spans="1:2" x14ac:dyDescent="0.2">
      <c r="A69" s="59"/>
    </row>
    <row r="70" spans="1:2" x14ac:dyDescent="0.2">
      <c r="A70" s="59"/>
    </row>
    <row r="71" spans="1:2" x14ac:dyDescent="0.2">
      <c r="A71" s="59"/>
    </row>
    <row r="72" spans="1:2" x14ac:dyDescent="0.2">
      <c r="A72" s="59"/>
    </row>
    <row r="73" spans="1:2" x14ac:dyDescent="0.2">
      <c r="A73" s="59"/>
    </row>
    <row r="74" spans="1:2" x14ac:dyDescent="0.2">
      <c r="A74" s="59"/>
    </row>
    <row r="75" spans="1:2" x14ac:dyDescent="0.2">
      <c r="A75" s="59"/>
    </row>
    <row r="76" spans="1:2" x14ac:dyDescent="0.2">
      <c r="A76" s="59"/>
    </row>
    <row r="77" spans="1:2" x14ac:dyDescent="0.2">
      <c r="A77" s="59"/>
    </row>
    <row r="78" spans="1:2" x14ac:dyDescent="0.2">
      <c r="A78" s="59"/>
    </row>
    <row r="79" spans="1:2" x14ac:dyDescent="0.2">
      <c r="A79" s="59"/>
    </row>
    <row r="80" spans="1:2" x14ac:dyDescent="0.2">
      <c r="A80" s="59"/>
    </row>
    <row r="81" spans="1:2" x14ac:dyDescent="0.2">
      <c r="A81" s="59"/>
    </row>
    <row r="82" spans="1:2" x14ac:dyDescent="0.2">
      <c r="A82" s="59"/>
    </row>
    <row r="83" spans="1:2" x14ac:dyDescent="0.2">
      <c r="A83" s="61"/>
    </row>
    <row r="84" spans="1:2" x14ac:dyDescent="0.2">
      <c r="A84" s="65"/>
      <c r="B84" s="63"/>
    </row>
    <row r="85" spans="1:2" x14ac:dyDescent="0.2">
      <c r="A85" s="17"/>
      <c r="B85" s="66"/>
    </row>
  </sheetData>
  <sortState xmlns:xlrd2="http://schemas.microsoft.com/office/spreadsheetml/2017/richdata2" ref="A1:D41">
    <sortCondition ref="D1:D4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13</vt:i4>
      </vt:variant>
    </vt:vector>
  </HeadingPairs>
  <TitlesOfParts>
    <vt:vector size="13" baseType="lpstr">
      <vt:lpstr>January</vt:lpstr>
      <vt:lpstr>February</vt:lpstr>
      <vt:lpstr>March</vt:lpstr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  <vt:lpstr>Floristic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Antonella Petrocelli</dc:creator>
  <cp:lastModifiedBy>Antonella Petrocelli</cp:lastModifiedBy>
  <dcterms:created xsi:type="dcterms:W3CDTF">2011-03-22T14:49:52Z</dcterms:created>
  <dcterms:modified xsi:type="dcterms:W3CDTF">2020-04-09T07:57:23Z</dcterms:modified>
</cp:coreProperties>
</file>